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chartsheets/sheet7.xml" ContentType="application/vnd.openxmlformats-officedocument.spreadsheetml.chart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chartsheets/sheet8.xml" ContentType="application/vnd.openxmlformats-officedocument.spreadsheetml.chartsheet+xml"/>
  <Override PartName="/xl/worksheets/sheet1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5.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6.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7.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8.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9.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7329"/>
  <workbookPr codeName="ThisWorkbook" autoCompressPictures="0"/>
  <mc:AlternateContent xmlns:mc="http://schemas.openxmlformats.org/markup-compatibility/2006">
    <mc:Choice Requires="x15">
      <x15ac:absPath xmlns:x15ac="http://schemas.microsoft.com/office/spreadsheetml/2010/11/ac" url="C:\Users\tyeager\OneDrive - University of Arkansas\Tim\Research\Stress\US\Simulations\"/>
    </mc:Choice>
  </mc:AlternateContent>
  <bookViews>
    <workbookView xWindow="15105" yWindow="0" windowWidth="13695" windowHeight="12375" tabRatio="657"/>
  </bookViews>
  <sheets>
    <sheet name="Inputs" sheetId="25" r:id="rId1"/>
    <sheet name="DataSources" sheetId="46" r:id="rId2"/>
    <sheet name="ProjectedLossRates" sheetId="17" r:id="rId3"/>
    <sheet name="Results" sheetId="6" r:id="rId4"/>
    <sheet name="Loan Share" sheetId="37" r:id="rId5"/>
    <sheet name="ROA" sheetId="43" r:id="rId6"/>
    <sheet name="ROE" sheetId="31" r:id="rId7"/>
    <sheet name="Capital" sheetId="32" r:id="rId8"/>
    <sheet name="Net Chargeoffs" sheetId="33" r:id="rId9"/>
    <sheet name="Chargeoffs by Loan Category" sheetId="34" r:id="rId10"/>
    <sheet name="Chargeoffs by CRE Category" sheetId="36" r:id="rId11"/>
    <sheet name="MULTIFAM" sheetId="16" state="hidden" r:id="rId12"/>
    <sheet name="NFR_OTHER" sheetId="14" state="hidden" r:id="rId13"/>
    <sheet name="NFR_OWN" sheetId="13" state="hidden" r:id="rId14"/>
    <sheet name="FARM" sheetId="12" state="hidden" r:id="rId15"/>
    <sheet name="CLD_OTHER" sheetId="10" state="hidden" r:id="rId16"/>
    <sheet name="CLD_RES" sheetId="18" state="hidden" r:id="rId17"/>
    <sheet name="Consumer" sheetId="7" state="hidden" r:id="rId18"/>
    <sheet name="Mortgage" sheetId="8" state="hidden" r:id="rId19"/>
    <sheet name="CI" sheetId="23" state="hidden" r:id="rId20"/>
    <sheet name="AG" sheetId="21" state="hidden" r:id="rId21"/>
    <sheet name="OTHERLOANS" sheetId="24" state="hidden" r:id="rId22"/>
    <sheet name="Securities" sheetId="9" state="hidden" r:id="rId23"/>
    <sheet name="FedFunds" sheetId="27" state="hidden" r:id="rId24"/>
    <sheet name="CRE Loan Share" sheetId="35" state="hidden" r:id="rId25"/>
    <sheet name="IntBearBalances" sheetId="28" state="hidden" r:id="rId26"/>
  </sheets>
  <externalReferences>
    <externalReference r:id="rId27"/>
  </externalReferences>
  <definedNames>
    <definedName name="bname">[1]Inputs!$A$2</definedName>
    <definedName name="cert">Inputs!$A$7</definedName>
    <definedName name="cohort">Inputs!$B$7</definedName>
    <definedName name="DivRule">Inputs!$D$34</definedName>
    <definedName name="msa">Inputs!$C$4</definedName>
    <definedName name="name">Inputs!$A$2</definedName>
    <definedName name="pctl">Inputs!$C$7</definedName>
    <definedName name="_xlnm.Print_Area" localSheetId="0">Inputs!$A$2:$D$38</definedName>
    <definedName name="_xlnm.Print_Area" localSheetId="2">ProjectedLossRates!$A$1:$J$38</definedName>
    <definedName name="_xlnm.Print_Area" localSheetId="3">Results!$A$1:$G$66</definedName>
    <definedName name="qtr">Inputs!$B$5</definedName>
    <definedName name="rt">Inputs!$D$7</definedName>
    <definedName name="SecRule">Inputs!$D$32</definedName>
    <definedName name="year">Inputs!$B$4</definedName>
  </definedNames>
  <calcPr calcId="171027"/>
  <extLst>
    <ext xmlns:mx="http://schemas.microsoft.com/office/mac/excel/2008/main" uri="{7523E5D3-25F3-A5E0-1632-64F254C22452}">
      <mx:ArchID Flags="2"/>
    </ext>
  </extLst>
</workbook>
</file>

<file path=xl/calcChain.xml><?xml version="1.0" encoding="utf-8"?>
<calcChain xmlns="http://schemas.openxmlformats.org/spreadsheetml/2006/main">
  <c r="A2" i="17" l="1"/>
  <c r="B25" i="6" l="1"/>
  <c r="B73" i="6" s="1"/>
  <c r="A2" i="6"/>
  <c r="B3" i="6"/>
  <c r="E3" i="6"/>
  <c r="G3" i="6"/>
  <c r="B9" i="6"/>
  <c r="B12" i="6"/>
  <c r="B14" i="6"/>
  <c r="B22" i="6"/>
  <c r="B24" i="6"/>
  <c r="B72" i="6" s="1"/>
  <c r="B27" i="6"/>
  <c r="B75" i="6" s="1"/>
  <c r="B31" i="6"/>
  <c r="B79" i="6" s="1"/>
  <c r="B29" i="6" l="1"/>
  <c r="B77" i="6" s="1"/>
  <c r="B26" i="6"/>
  <c r="B74" i="6" s="1"/>
  <c r="B70" i="6"/>
  <c r="G7" i="24" l="1"/>
  <c r="G46" i="6" s="1"/>
  <c r="F7" i="24"/>
  <c r="F46" i="6" s="1"/>
  <c r="E7" i="24"/>
  <c r="E46" i="6" s="1"/>
  <c r="D7" i="24"/>
  <c r="D46" i="6" s="1"/>
  <c r="C7" i="24"/>
  <c r="C46" i="6" s="1"/>
  <c r="G7" i="21"/>
  <c r="G45" i="6" s="1"/>
  <c r="F7" i="21"/>
  <c r="F45" i="6" s="1"/>
  <c r="E7" i="21"/>
  <c r="E45" i="6" s="1"/>
  <c r="D7" i="21"/>
  <c r="D45" i="6" s="1"/>
  <c r="C7" i="21"/>
  <c r="C45" i="6" s="1"/>
  <c r="G7" i="23"/>
  <c r="G44" i="6" s="1"/>
  <c r="F7" i="23"/>
  <c r="F44" i="6" s="1"/>
  <c r="E7" i="23"/>
  <c r="E44" i="6" s="1"/>
  <c r="D7" i="23"/>
  <c r="D44" i="6" s="1"/>
  <c r="C7" i="23"/>
  <c r="C44" i="6" s="1"/>
  <c r="G7" i="8"/>
  <c r="G42" i="6" s="1"/>
  <c r="F7" i="8"/>
  <c r="F42" i="6" s="1"/>
  <c r="E7" i="8"/>
  <c r="E42" i="6" s="1"/>
  <c r="D7" i="8"/>
  <c r="D42" i="6" s="1"/>
  <c r="C7" i="8"/>
  <c r="C42" i="6" s="1"/>
  <c r="G7" i="7"/>
  <c r="G43" i="6" s="1"/>
  <c r="F7" i="7"/>
  <c r="F43" i="6" s="1"/>
  <c r="E7" i="7"/>
  <c r="E43" i="6" s="1"/>
  <c r="D7" i="7"/>
  <c r="D43" i="6" s="1"/>
  <c r="C7" i="7"/>
  <c r="C43" i="6" s="1"/>
  <c r="G7" i="18"/>
  <c r="G41" i="6" s="1"/>
  <c r="F7" i="18"/>
  <c r="F41" i="6" s="1"/>
  <c r="E7" i="18"/>
  <c r="E41" i="6" s="1"/>
  <c r="D7" i="18"/>
  <c r="D41" i="6" s="1"/>
  <c r="C7" i="18"/>
  <c r="C41" i="6" s="1"/>
  <c r="G7" i="10"/>
  <c r="G40" i="6" s="1"/>
  <c r="F7" i="10"/>
  <c r="F40" i="6" s="1"/>
  <c r="E7" i="10"/>
  <c r="E40" i="6" s="1"/>
  <c r="D7" i="10"/>
  <c r="D40" i="6" s="1"/>
  <c r="C7" i="10"/>
  <c r="C40" i="6" s="1"/>
  <c r="G7" i="12"/>
  <c r="G39" i="6" s="1"/>
  <c r="F7" i="12"/>
  <c r="F39" i="6" s="1"/>
  <c r="E7" i="12"/>
  <c r="E39" i="6" s="1"/>
  <c r="D7" i="12"/>
  <c r="D39" i="6" s="1"/>
  <c r="C7" i="12"/>
  <c r="C39" i="6" s="1"/>
  <c r="G7" i="13"/>
  <c r="G38" i="6" s="1"/>
  <c r="F7" i="13"/>
  <c r="F38" i="6" s="1"/>
  <c r="E7" i="13"/>
  <c r="E38" i="6" s="1"/>
  <c r="D7" i="13"/>
  <c r="D38" i="6" s="1"/>
  <c r="C7" i="13"/>
  <c r="C38" i="6" s="1"/>
  <c r="G7" i="14"/>
  <c r="G37" i="6" s="1"/>
  <c r="F7" i="14"/>
  <c r="F37" i="6" s="1"/>
  <c r="E7" i="14"/>
  <c r="E37" i="6" s="1"/>
  <c r="D7" i="14"/>
  <c r="D37" i="6" s="1"/>
  <c r="C7" i="14"/>
  <c r="C37" i="6" s="1"/>
  <c r="B10" i="9" l="1"/>
  <c r="G7" i="16"/>
  <c r="G36" i="6" s="1"/>
  <c r="F7" i="16"/>
  <c r="F36" i="6" s="1"/>
  <c r="E7" i="16"/>
  <c r="E36" i="6" s="1"/>
  <c r="D7" i="16"/>
  <c r="D36" i="6" s="1"/>
  <c r="C7" i="16"/>
  <c r="C36" i="6" s="1"/>
  <c r="B3" i="24" l="1"/>
  <c r="B3" i="21"/>
  <c r="B3" i="7"/>
  <c r="B3" i="8"/>
  <c r="B3" i="18"/>
  <c r="B3" i="10"/>
  <c r="B3" i="12"/>
  <c r="B3" i="13"/>
  <c r="B3" i="14"/>
  <c r="B3" i="16"/>
  <c r="B2" i="9"/>
  <c r="B8" i="9" s="1"/>
  <c r="B7" i="6" s="1"/>
  <c r="B3" i="28"/>
  <c r="B2" i="28"/>
  <c r="B8" i="28" s="1"/>
  <c r="B5" i="6" s="1"/>
  <c r="B3" i="27"/>
  <c r="B2" i="27"/>
  <c r="B8" i="27" s="1"/>
  <c r="B6" i="6" s="1"/>
  <c r="B3" i="9"/>
  <c r="B4" i="24"/>
  <c r="B10" i="24" s="1"/>
  <c r="B2" i="8"/>
  <c r="B8" i="8" s="1"/>
  <c r="B62" i="6" s="1"/>
  <c r="B4" i="12"/>
  <c r="B10" i="12" s="1"/>
  <c r="B2" i="16"/>
  <c r="B4" i="27"/>
  <c r="B10" i="27" s="1"/>
  <c r="B4" i="28"/>
  <c r="B10" i="28" s="1"/>
  <c r="C8" i="27" l="1"/>
  <c r="C6" i="6" s="1"/>
  <c r="C8" i="9"/>
  <c r="C7" i="6" s="1"/>
  <c r="C8" i="8"/>
  <c r="C8" i="28"/>
  <c r="C5" i="6" s="1"/>
  <c r="B7" i="28"/>
  <c r="B7" i="27"/>
  <c r="B2" i="18"/>
  <c r="B8" i="18" s="1"/>
  <c r="B61" i="6" s="1"/>
  <c r="B2" i="12"/>
  <c r="B2" i="10"/>
  <c r="B8" i="10" s="1"/>
  <c r="B60" i="6" s="1"/>
  <c r="B2" i="13"/>
  <c r="B8" i="13" s="1"/>
  <c r="B58" i="6" s="1"/>
  <c r="B7" i="9"/>
  <c r="B4" i="8"/>
  <c r="B10" i="8" s="1"/>
  <c r="B3" i="23"/>
  <c r="B8" i="16"/>
  <c r="B2" i="24"/>
  <c r="B4" i="16"/>
  <c r="B10" i="16" s="1"/>
  <c r="B4" i="23"/>
  <c r="B10" i="23" s="1"/>
  <c r="B2" i="23"/>
  <c r="B8" i="23" s="1"/>
  <c r="B64" i="6" s="1"/>
  <c r="B4" i="21"/>
  <c r="B10" i="21" s="1"/>
  <c r="B2" i="21"/>
  <c r="B8" i="21" s="1"/>
  <c r="B65" i="6" s="1"/>
  <c r="B2" i="14"/>
  <c r="B8" i="14" s="1"/>
  <c r="B57" i="6" s="1"/>
  <c r="J3" i="8"/>
  <c r="B4" i="7"/>
  <c r="B10" i="7" s="1"/>
  <c r="B2" i="7"/>
  <c r="B8" i="7" s="1"/>
  <c r="B63" i="6" s="1"/>
  <c r="D8" i="8" l="1"/>
  <c r="D62" i="6" s="1"/>
  <c r="C62" i="6"/>
  <c r="B56" i="6"/>
  <c r="D8" i="9"/>
  <c r="D7" i="6" s="1"/>
  <c r="C8" i="21"/>
  <c r="C8" i="13"/>
  <c r="C8" i="10"/>
  <c r="C8" i="7"/>
  <c r="C8" i="18"/>
  <c r="C8" i="14"/>
  <c r="C57" i="6" s="1"/>
  <c r="D8" i="27"/>
  <c r="D6" i="6" s="1"/>
  <c r="C8" i="16"/>
  <c r="D8" i="28"/>
  <c r="D5" i="6" s="1"/>
  <c r="B8" i="12"/>
  <c r="B59" i="6" s="1"/>
  <c r="C8" i="23"/>
  <c r="C64" i="6" s="1"/>
  <c r="B9" i="23"/>
  <c r="B7" i="24"/>
  <c r="B46" i="6" s="1"/>
  <c r="B8" i="24"/>
  <c r="B66" i="6" s="1"/>
  <c r="C10" i="28"/>
  <c r="K11" i="28" s="1"/>
  <c r="B9" i="28"/>
  <c r="J10" i="28" s="1"/>
  <c r="J3" i="28"/>
  <c r="J3" i="27"/>
  <c r="C10" i="27"/>
  <c r="K11" i="27" s="1"/>
  <c r="B9" i="27"/>
  <c r="J10" i="27" s="1"/>
  <c r="C10" i="9"/>
  <c r="K11" i="9" s="1"/>
  <c r="J3" i="9"/>
  <c r="C10" i="8"/>
  <c r="K11" i="8" s="1"/>
  <c r="C10" i="16"/>
  <c r="B7" i="8"/>
  <c r="B42" i="6" s="1"/>
  <c r="B7" i="16"/>
  <c r="B36" i="6" s="1"/>
  <c r="J3" i="16"/>
  <c r="B9" i="16"/>
  <c r="J10" i="16" s="1"/>
  <c r="J3" i="18"/>
  <c r="B4" i="13"/>
  <c r="B10" i="13" s="1"/>
  <c r="B4" i="18"/>
  <c r="B10" i="18" s="1"/>
  <c r="B4" i="10"/>
  <c r="B10" i="10" s="1"/>
  <c r="B4" i="14"/>
  <c r="B10" i="14" s="1"/>
  <c r="B7" i="12"/>
  <c r="B39" i="6" s="1"/>
  <c r="J3" i="10"/>
  <c r="J3" i="13"/>
  <c r="B9" i="9"/>
  <c r="J10" i="9" s="1"/>
  <c r="B7" i="7"/>
  <c r="B43" i="6" s="1"/>
  <c r="B9" i="8"/>
  <c r="J10" i="8" s="1"/>
  <c r="J3" i="14"/>
  <c r="J3" i="21"/>
  <c r="J3" i="23"/>
  <c r="B7" i="21"/>
  <c r="B45" i="6" s="1"/>
  <c r="B7" i="23"/>
  <c r="B44" i="6" s="1"/>
  <c r="J3" i="7"/>
  <c r="E8" i="8" l="1"/>
  <c r="E62" i="6" s="1"/>
  <c r="B18" i="6"/>
  <c r="D8" i="7"/>
  <c r="D63" i="6" s="1"/>
  <c r="C63" i="6"/>
  <c r="D8" i="10"/>
  <c r="D60" i="6" s="1"/>
  <c r="C60" i="6"/>
  <c r="D8" i="13"/>
  <c r="D58" i="6" s="1"/>
  <c r="C58" i="6"/>
  <c r="B55" i="6"/>
  <c r="B35" i="6" s="1"/>
  <c r="C56" i="6"/>
  <c r="D8" i="18"/>
  <c r="D61" i="6" s="1"/>
  <c r="C61" i="6"/>
  <c r="D8" i="21"/>
  <c r="D65" i="6" s="1"/>
  <c r="C65" i="6"/>
  <c r="B8" i="6"/>
  <c r="D8" i="14"/>
  <c r="D57" i="6" s="1"/>
  <c r="E8" i="28"/>
  <c r="E5" i="6" s="1"/>
  <c r="E8" i="27"/>
  <c r="E6" i="6" s="1"/>
  <c r="C8" i="12"/>
  <c r="E8" i="9"/>
  <c r="E7" i="6" s="1"/>
  <c r="C8" i="24"/>
  <c r="D8" i="16"/>
  <c r="B9" i="12"/>
  <c r="J10" i="12" s="1"/>
  <c r="J3" i="12"/>
  <c r="C10" i="12"/>
  <c r="K11" i="12" s="1"/>
  <c r="J3" i="24"/>
  <c r="D8" i="23"/>
  <c r="D64" i="6" s="1"/>
  <c r="C9" i="23"/>
  <c r="K11" i="16"/>
  <c r="C9" i="27"/>
  <c r="K10" i="27" s="1"/>
  <c r="K3" i="27"/>
  <c r="D10" i="27"/>
  <c r="L11" i="27" s="1"/>
  <c r="C9" i="28"/>
  <c r="K10" i="28" s="1"/>
  <c r="K3" i="28"/>
  <c r="D10" i="28"/>
  <c r="L11" i="28" s="1"/>
  <c r="L3" i="8"/>
  <c r="D10" i="8"/>
  <c r="L11" i="8" s="1"/>
  <c r="K3" i="8"/>
  <c r="K3" i="9"/>
  <c r="D10" i="16"/>
  <c r="D10" i="9"/>
  <c r="L11" i="9" s="1"/>
  <c r="C10" i="14"/>
  <c r="K11" i="14" s="1"/>
  <c r="C10" i="24"/>
  <c r="K11" i="24" s="1"/>
  <c r="C10" i="13"/>
  <c r="K11" i="13" s="1"/>
  <c r="C10" i="23"/>
  <c r="K11" i="23" s="1"/>
  <c r="C10" i="10"/>
  <c r="K11" i="10" s="1"/>
  <c r="C10" i="7"/>
  <c r="K11" i="7" s="1"/>
  <c r="C10" i="21"/>
  <c r="K11" i="21" s="1"/>
  <c r="C10" i="18"/>
  <c r="K11" i="18" s="1"/>
  <c r="B7" i="18"/>
  <c r="B41" i="6" s="1"/>
  <c r="B7" i="14"/>
  <c r="B37" i="6" s="1"/>
  <c r="B7" i="13"/>
  <c r="B38" i="6" s="1"/>
  <c r="B7" i="10"/>
  <c r="B40" i="6" s="1"/>
  <c r="K3" i="16"/>
  <c r="B9" i="18"/>
  <c r="J10" i="18" s="1"/>
  <c r="B9" i="10"/>
  <c r="J10" i="10" s="1"/>
  <c r="B9" i="13"/>
  <c r="J10" i="13" s="1"/>
  <c r="C9" i="16"/>
  <c r="B9" i="24"/>
  <c r="J10" i="24" s="1"/>
  <c r="B9" i="7"/>
  <c r="J10" i="7" s="1"/>
  <c r="J10" i="23"/>
  <c r="B9" i="14"/>
  <c r="J10" i="14" s="1"/>
  <c r="B9" i="21"/>
  <c r="J10" i="21" s="1"/>
  <c r="C9" i="8"/>
  <c r="K10" i="8" s="1"/>
  <c r="B10" i="6" l="1"/>
  <c r="B11" i="6" s="1"/>
  <c r="B13" i="6" s="1"/>
  <c r="E8" i="21"/>
  <c r="E65" i="6" s="1"/>
  <c r="E8" i="10"/>
  <c r="E60" i="6" s="1"/>
  <c r="E8" i="13"/>
  <c r="E58" i="6" s="1"/>
  <c r="E8" i="14"/>
  <c r="E57" i="6" s="1"/>
  <c r="E8" i="7"/>
  <c r="E63" i="6" s="1"/>
  <c r="F8" i="8"/>
  <c r="F62" i="6" s="1"/>
  <c r="E8" i="18"/>
  <c r="E61" i="6" s="1"/>
  <c r="B47" i="6"/>
  <c r="B21" i="6"/>
  <c r="B23" i="6" s="1"/>
  <c r="C8" i="6"/>
  <c r="C18" i="6"/>
  <c r="D8" i="12"/>
  <c r="C59" i="6"/>
  <c r="C55" i="6" s="1"/>
  <c r="C35" i="6" s="1"/>
  <c r="D8" i="24"/>
  <c r="D66" i="6" s="1"/>
  <c r="C66" i="6"/>
  <c r="D56" i="6"/>
  <c r="C9" i="12"/>
  <c r="K10" i="12" s="1"/>
  <c r="K3" i="12"/>
  <c r="D10" i="12"/>
  <c r="L11" i="12" s="1"/>
  <c r="F8" i="28"/>
  <c r="F5" i="6" s="1"/>
  <c r="F8" i="27"/>
  <c r="F6" i="6" s="1"/>
  <c r="F8" i="9"/>
  <c r="F7" i="6" s="1"/>
  <c r="E8" i="16"/>
  <c r="E8" i="23"/>
  <c r="E64" i="6" s="1"/>
  <c r="D9" i="23"/>
  <c r="E10" i="16"/>
  <c r="L3" i="28"/>
  <c r="D9" i="28"/>
  <c r="L10" i="28" s="1"/>
  <c r="E10" i="28"/>
  <c r="M11" i="28" s="1"/>
  <c r="E10" i="27"/>
  <c r="M11" i="27" s="1"/>
  <c r="L3" i="27"/>
  <c r="D9" i="27"/>
  <c r="L10" i="27" s="1"/>
  <c r="L11" i="16"/>
  <c r="D10" i="18"/>
  <c r="L11" i="18" s="1"/>
  <c r="K3" i="18"/>
  <c r="K3" i="10"/>
  <c r="D10" i="10"/>
  <c r="L11" i="10" s="1"/>
  <c r="K3" i="14"/>
  <c r="D10" i="14"/>
  <c r="L11" i="14" s="1"/>
  <c r="L3" i="21"/>
  <c r="K3" i="21"/>
  <c r="D10" i="21"/>
  <c r="L11" i="21" s="1"/>
  <c r="D10" i="24"/>
  <c r="L11" i="24" s="1"/>
  <c r="K3" i="24"/>
  <c r="E10" i="8"/>
  <c r="M11" i="8" s="1"/>
  <c r="L3" i="23"/>
  <c r="K3" i="23"/>
  <c r="D10" i="23"/>
  <c r="L11" i="23" s="1"/>
  <c r="M3" i="8"/>
  <c r="L3" i="9"/>
  <c r="K3" i="13"/>
  <c r="D10" i="13"/>
  <c r="L11" i="13" s="1"/>
  <c r="L3" i="7"/>
  <c r="K3" i="7"/>
  <c r="D10" i="7"/>
  <c r="L11" i="7" s="1"/>
  <c r="E10" i="9"/>
  <c r="M11" i="9" s="1"/>
  <c r="L3" i="13"/>
  <c r="L3" i="18"/>
  <c r="L3" i="10"/>
  <c r="L3" i="14"/>
  <c r="L3" i="16"/>
  <c r="K10" i="16"/>
  <c r="C9" i="13"/>
  <c r="K10" i="13" s="1"/>
  <c r="C9" i="18"/>
  <c r="K10" i="18" s="1"/>
  <c r="C9" i="10"/>
  <c r="K10" i="10" s="1"/>
  <c r="D9" i="16"/>
  <c r="C9" i="9"/>
  <c r="K10" i="9" s="1"/>
  <c r="C9" i="24"/>
  <c r="K10" i="24" s="1"/>
  <c r="C9" i="7"/>
  <c r="K10" i="7" s="1"/>
  <c r="D9" i="8"/>
  <c r="L10" i="8" s="1"/>
  <c r="C9" i="14"/>
  <c r="K10" i="14" s="1"/>
  <c r="C9" i="21"/>
  <c r="K10" i="21" s="1"/>
  <c r="K10" i="23"/>
  <c r="F8" i="10" l="1"/>
  <c r="F60" i="6" s="1"/>
  <c r="B69" i="6"/>
  <c r="L3" i="24"/>
  <c r="F8" i="13"/>
  <c r="F58" i="6" s="1"/>
  <c r="F8" i="21"/>
  <c r="F65" i="6" s="1"/>
  <c r="F8" i="14"/>
  <c r="F57" i="6" s="1"/>
  <c r="C67" i="6"/>
  <c r="C26" i="6" s="1"/>
  <c r="C74" i="6" s="1"/>
  <c r="F8" i="18"/>
  <c r="F61" i="6" s="1"/>
  <c r="G8" i="8"/>
  <c r="G62" i="6" s="1"/>
  <c r="F8" i="7"/>
  <c r="F63" i="6" s="1"/>
  <c r="E8" i="24"/>
  <c r="E66" i="6" s="1"/>
  <c r="L3" i="12"/>
  <c r="D59" i="6"/>
  <c r="D55" i="6" s="1"/>
  <c r="D35" i="6" s="1"/>
  <c r="D8" i="6"/>
  <c r="D18" i="6"/>
  <c r="D9" i="12"/>
  <c r="L10" i="12" s="1"/>
  <c r="B15" i="6"/>
  <c r="B52" i="6" s="1"/>
  <c r="B28" i="6"/>
  <c r="B71" i="6"/>
  <c r="F10" i="16"/>
  <c r="N11" i="16" s="1"/>
  <c r="E56" i="6"/>
  <c r="C21" i="6"/>
  <c r="E10" i="12"/>
  <c r="M11" i="12" s="1"/>
  <c r="E8" i="12"/>
  <c r="E9" i="12" s="1"/>
  <c r="M10" i="12" s="1"/>
  <c r="G8" i="28"/>
  <c r="G5" i="6" s="1"/>
  <c r="G8" i="27"/>
  <c r="G6" i="6" s="1"/>
  <c r="G8" i="9"/>
  <c r="G7" i="6" s="1"/>
  <c r="M11" i="16"/>
  <c r="G8" i="10"/>
  <c r="G60" i="6" s="1"/>
  <c r="F8" i="16"/>
  <c r="F8" i="23"/>
  <c r="F64" i="6" s="1"/>
  <c r="E9" i="23"/>
  <c r="N3" i="8"/>
  <c r="F10" i="8"/>
  <c r="N11" i="8" s="1"/>
  <c r="E10" i="21"/>
  <c r="M11" i="21" s="1"/>
  <c r="E9" i="27"/>
  <c r="M10" i="27" s="1"/>
  <c r="M3" i="27"/>
  <c r="F10" i="27"/>
  <c r="N11" i="27" s="1"/>
  <c r="M3" i="28"/>
  <c r="F10" i="28"/>
  <c r="N11" i="28" s="1"/>
  <c r="E9" i="28"/>
  <c r="M10" i="28" s="1"/>
  <c r="E10" i="7"/>
  <c r="M11" i="7" s="1"/>
  <c r="M3" i="21"/>
  <c r="E10" i="24"/>
  <c r="M11" i="24" s="1"/>
  <c r="E10" i="23"/>
  <c r="M11" i="23" s="1"/>
  <c r="M3" i="23"/>
  <c r="M3" i="7"/>
  <c r="M3" i="9"/>
  <c r="F10" i="9"/>
  <c r="N11" i="9" s="1"/>
  <c r="M3" i="14"/>
  <c r="E10" i="14"/>
  <c r="M3" i="13"/>
  <c r="E10" i="13"/>
  <c r="M11" i="13" s="1"/>
  <c r="M3" i="10"/>
  <c r="E10" i="10"/>
  <c r="M11" i="10" s="1"/>
  <c r="M3" i="18"/>
  <c r="E10" i="18"/>
  <c r="M11" i="18" s="1"/>
  <c r="D9" i="18"/>
  <c r="L10" i="18" s="1"/>
  <c r="M3" i="16"/>
  <c r="D9" i="13"/>
  <c r="L10" i="13" s="1"/>
  <c r="D9" i="24"/>
  <c r="L10" i="24" s="1"/>
  <c r="L10" i="16"/>
  <c r="E9" i="16"/>
  <c r="D9" i="10"/>
  <c r="L10" i="10" s="1"/>
  <c r="D9" i="9"/>
  <c r="L10" i="9" s="1"/>
  <c r="D9" i="14"/>
  <c r="L10" i="14" s="1"/>
  <c r="E9" i="8"/>
  <c r="M10" i="8" s="1"/>
  <c r="D9" i="7"/>
  <c r="L10" i="7" s="1"/>
  <c r="L10" i="23"/>
  <c r="D9" i="21"/>
  <c r="L10" i="21" s="1"/>
  <c r="G8" i="13" l="1"/>
  <c r="G58" i="6" s="1"/>
  <c r="F8" i="24"/>
  <c r="F66" i="6" s="1"/>
  <c r="C9" i="6"/>
  <c r="C10" i="6" s="1"/>
  <c r="G8" i="14"/>
  <c r="G57" i="6" s="1"/>
  <c r="F8" i="12"/>
  <c r="F59" i="6" s="1"/>
  <c r="G8" i="7"/>
  <c r="G63" i="6" s="1"/>
  <c r="G8" i="21"/>
  <c r="G65" i="6" s="1"/>
  <c r="G8" i="18"/>
  <c r="G61" i="6" s="1"/>
  <c r="M3" i="24"/>
  <c r="E18" i="6"/>
  <c r="M3" i="12"/>
  <c r="E59" i="6"/>
  <c r="E55" i="6" s="1"/>
  <c r="E35" i="6" s="1"/>
  <c r="B30" i="6"/>
  <c r="B76" i="6"/>
  <c r="D21" i="6"/>
  <c r="F10" i="12"/>
  <c r="N11" i="12" s="1"/>
  <c r="E8" i="6"/>
  <c r="D67" i="6"/>
  <c r="G10" i="16"/>
  <c r="O11" i="16" s="1"/>
  <c r="F56" i="6"/>
  <c r="C69" i="6"/>
  <c r="G8" i="16"/>
  <c r="F9" i="23"/>
  <c r="G8" i="23"/>
  <c r="G64" i="6" s="1"/>
  <c r="G10" i="8"/>
  <c r="O11" i="8" s="1"/>
  <c r="O3" i="8"/>
  <c r="M11" i="14"/>
  <c r="F9" i="28"/>
  <c r="N10" i="28" s="1"/>
  <c r="N3" i="28"/>
  <c r="G10" i="28"/>
  <c r="O11" i="28" s="1"/>
  <c r="F10" i="24"/>
  <c r="N11" i="24" s="1"/>
  <c r="G10" i="27"/>
  <c r="O11" i="27" s="1"/>
  <c r="N3" i="27"/>
  <c r="F9" i="27"/>
  <c r="N10" i="27" s="1"/>
  <c r="F10" i="21"/>
  <c r="N11" i="21" s="1"/>
  <c r="N3" i="21"/>
  <c r="F10" i="23"/>
  <c r="N11" i="23" s="1"/>
  <c r="N3" i="23"/>
  <c r="N3" i="9"/>
  <c r="F10" i="7"/>
  <c r="N11" i="7" s="1"/>
  <c r="N3" i="7"/>
  <c r="G10" i="9"/>
  <c r="O11" i="9" s="1"/>
  <c r="N3" i="14"/>
  <c r="F10" i="14"/>
  <c r="N3" i="13"/>
  <c r="F10" i="13"/>
  <c r="N11" i="13" s="1"/>
  <c r="N3" i="10"/>
  <c r="F10" i="10"/>
  <c r="N11" i="10" s="1"/>
  <c r="N3" i="18"/>
  <c r="F10" i="18"/>
  <c r="N11" i="18" s="1"/>
  <c r="E9" i="18"/>
  <c r="M10" i="18" s="1"/>
  <c r="E9" i="13"/>
  <c r="M10" i="13" s="1"/>
  <c r="E9" i="24"/>
  <c r="M10" i="24" s="1"/>
  <c r="N3" i="16"/>
  <c r="F9" i="16"/>
  <c r="M10" i="16"/>
  <c r="E9" i="10"/>
  <c r="M10" i="10" s="1"/>
  <c r="E9" i="9"/>
  <c r="M10" i="9" s="1"/>
  <c r="E9" i="21"/>
  <c r="M10" i="21" s="1"/>
  <c r="M10" i="23"/>
  <c r="F9" i="8"/>
  <c r="N10" i="8" s="1"/>
  <c r="E9" i="7"/>
  <c r="M10" i="7" s="1"/>
  <c r="E9" i="14"/>
  <c r="M10" i="14" s="1"/>
  <c r="G8" i="12" l="1"/>
  <c r="G59" i="6" s="1"/>
  <c r="F9" i="12"/>
  <c r="N10" i="12" s="1"/>
  <c r="N3" i="24"/>
  <c r="G10" i="12"/>
  <c r="O11" i="12" s="1"/>
  <c r="N3" i="12"/>
  <c r="F55" i="6"/>
  <c r="F35" i="6" s="1"/>
  <c r="G8" i="24"/>
  <c r="G66" i="6" s="1"/>
  <c r="O3" i="7"/>
  <c r="D26" i="6"/>
  <c r="D74" i="6" s="1"/>
  <c r="F8" i="6"/>
  <c r="F67" i="6" s="1"/>
  <c r="E21" i="6"/>
  <c r="E69" i="6" s="1"/>
  <c r="F18" i="6"/>
  <c r="C11" i="6"/>
  <c r="C12" i="6" s="1"/>
  <c r="C13" i="6" s="1"/>
  <c r="C27" i="6" s="1"/>
  <c r="C75" i="6" s="1"/>
  <c r="C47" i="6"/>
  <c r="G56" i="6"/>
  <c r="B78" i="6"/>
  <c r="B50" i="6"/>
  <c r="B51" i="6"/>
  <c r="B32" i="6"/>
  <c r="B80" i="6" s="1"/>
  <c r="D69" i="6"/>
  <c r="E67" i="6"/>
  <c r="G9" i="23"/>
  <c r="O3" i="23"/>
  <c r="G10" i="21"/>
  <c r="O11" i="21" s="1"/>
  <c r="N11" i="14"/>
  <c r="G10" i="23"/>
  <c r="O11" i="23" s="1"/>
  <c r="G9" i="27"/>
  <c r="O10" i="27" s="1"/>
  <c r="O3" i="27"/>
  <c r="O3" i="28"/>
  <c r="G9" i="28"/>
  <c r="O10" i="28" s="1"/>
  <c r="O3" i="21"/>
  <c r="G10" i="24"/>
  <c r="O11" i="24" s="1"/>
  <c r="G10" i="7"/>
  <c r="O11" i="7" s="1"/>
  <c r="O3" i="9"/>
  <c r="O3" i="14"/>
  <c r="G10" i="14"/>
  <c r="G10" i="13"/>
  <c r="O11" i="13" s="1"/>
  <c r="O3" i="10"/>
  <c r="G10" i="10"/>
  <c r="O11" i="10" s="1"/>
  <c r="O3" i="18"/>
  <c r="G10" i="18"/>
  <c r="O11" i="18" s="1"/>
  <c r="F9" i="13"/>
  <c r="N10" i="13" s="1"/>
  <c r="F9" i="18"/>
  <c r="N10" i="18" s="1"/>
  <c r="F9" i="24"/>
  <c r="N10" i="24" s="1"/>
  <c r="O3" i="16"/>
  <c r="N10" i="16"/>
  <c r="G9" i="16"/>
  <c r="F9" i="9"/>
  <c r="N10" i="9" s="1"/>
  <c r="F9" i="10"/>
  <c r="N10" i="10" s="1"/>
  <c r="G9" i="8"/>
  <c r="O10" i="8" s="1"/>
  <c r="N10" i="23"/>
  <c r="F9" i="7"/>
  <c r="N10" i="7" s="1"/>
  <c r="F9" i="14"/>
  <c r="N10" i="14" s="1"/>
  <c r="F9" i="21"/>
  <c r="N10" i="21" s="1"/>
  <c r="G9" i="12" l="1"/>
  <c r="O10" i="12" s="1"/>
  <c r="G55" i="6"/>
  <c r="O3" i="12"/>
  <c r="G8" i="6"/>
  <c r="G67" i="6" s="1"/>
  <c r="O3" i="24"/>
  <c r="D9" i="6"/>
  <c r="D10" i="6" s="1"/>
  <c r="D11" i="6" s="1"/>
  <c r="D12" i="6" s="1"/>
  <c r="D13" i="6" s="1"/>
  <c r="D27" i="6" s="1"/>
  <c r="D75" i="6" s="1"/>
  <c r="G18" i="6"/>
  <c r="C24" i="6"/>
  <c r="C72" i="6" s="1"/>
  <c r="C22" i="6"/>
  <c r="C25" i="6"/>
  <c r="C73" i="6" s="1"/>
  <c r="F21" i="6"/>
  <c r="F69" i="6" s="1"/>
  <c r="G35" i="6"/>
  <c r="O11" i="14"/>
  <c r="G9" i="24"/>
  <c r="O10" i="24" s="1"/>
  <c r="G9" i="13"/>
  <c r="O10" i="13" s="1"/>
  <c r="O3" i="13"/>
  <c r="G9" i="18"/>
  <c r="O10" i="18" s="1"/>
  <c r="G9" i="10"/>
  <c r="O10" i="10" s="1"/>
  <c r="G9" i="9"/>
  <c r="O10" i="9" s="1"/>
  <c r="O10" i="16"/>
  <c r="O10" i="23"/>
  <c r="G9" i="21"/>
  <c r="O10" i="21" s="1"/>
  <c r="G9" i="14"/>
  <c r="O10" i="14" s="1"/>
  <c r="G9" i="7"/>
  <c r="O10" i="7" s="1"/>
  <c r="D25" i="6" l="1"/>
  <c r="D73" i="6" s="1"/>
  <c r="D24" i="6"/>
  <c r="D72" i="6" s="1"/>
  <c r="D22" i="6"/>
  <c r="D70" i="6" s="1"/>
  <c r="D47" i="6"/>
  <c r="E26" i="6"/>
  <c r="E74" i="6" s="1"/>
  <c r="G21" i="6"/>
  <c r="C70" i="6"/>
  <c r="C23" i="6"/>
  <c r="D23" i="6" l="1"/>
  <c r="D28" i="6" s="1"/>
  <c r="E9" i="6"/>
  <c r="C71" i="6"/>
  <c r="C28" i="6"/>
  <c r="G69" i="6"/>
  <c r="D71" i="6" l="1"/>
  <c r="F26" i="6"/>
  <c r="F74" i="6" s="1"/>
  <c r="E10" i="6"/>
  <c r="D76" i="6"/>
  <c r="D29" i="6"/>
  <c r="D77" i="6" s="1"/>
  <c r="C76" i="6"/>
  <c r="C29" i="6"/>
  <c r="C77" i="6" s="1"/>
  <c r="D30" i="6" l="1"/>
  <c r="D78" i="6" s="1"/>
  <c r="F9" i="6"/>
  <c r="E47" i="6"/>
  <c r="E11" i="6"/>
  <c r="E12" i="6" s="1"/>
  <c r="E13" i="6" s="1"/>
  <c r="E27" i="6" s="1"/>
  <c r="E75" i="6" s="1"/>
  <c r="D50" i="6"/>
  <c r="C30" i="6"/>
  <c r="C31" i="6" s="1"/>
  <c r="C79" i="6" s="1"/>
  <c r="D31" i="6" l="1"/>
  <c r="D79" i="6" s="1"/>
  <c r="C50" i="6"/>
  <c r="F10" i="6"/>
  <c r="G26" i="6"/>
  <c r="G74" i="6" s="1"/>
  <c r="E25" i="6"/>
  <c r="E73" i="6" s="1"/>
  <c r="E22" i="6"/>
  <c r="E24" i="6"/>
  <c r="E72" i="6" s="1"/>
  <c r="C78" i="6"/>
  <c r="C32" i="6"/>
  <c r="C15" i="6" s="1"/>
  <c r="D32" i="6" l="1"/>
  <c r="D80" i="6" s="1"/>
  <c r="F11" i="6"/>
  <c r="F12" i="6" s="1"/>
  <c r="F13" i="6" s="1"/>
  <c r="F27" i="6" s="1"/>
  <c r="F75" i="6" s="1"/>
  <c r="F47" i="6"/>
  <c r="E70" i="6"/>
  <c r="E23" i="6"/>
  <c r="G9" i="6"/>
  <c r="G10" i="6" s="1"/>
  <c r="C80" i="6"/>
  <c r="C52" i="6"/>
  <c r="C14" i="6"/>
  <c r="C51" i="6"/>
  <c r="D15" i="6" l="1"/>
  <c r="D51" i="6" s="1"/>
  <c r="G11" i="6"/>
  <c r="G12" i="6" s="1"/>
  <c r="G13" i="6" s="1"/>
  <c r="G27" i="6" s="1"/>
  <c r="G75" i="6" s="1"/>
  <c r="G47" i="6"/>
  <c r="F25" i="6"/>
  <c r="F73" i="6" s="1"/>
  <c r="F24" i="6"/>
  <c r="F72" i="6" s="1"/>
  <c r="F22" i="6"/>
  <c r="E71" i="6"/>
  <c r="E28" i="6"/>
  <c r="D14" i="6"/>
  <c r="D52" i="6" l="1"/>
  <c r="F23" i="6"/>
  <c r="F70" i="6"/>
  <c r="G22" i="6"/>
  <c r="G24" i="6"/>
  <c r="G72" i="6" s="1"/>
  <c r="G25" i="6"/>
  <c r="G73" i="6" s="1"/>
  <c r="E76" i="6"/>
  <c r="E29" i="6"/>
  <c r="F28" i="6" l="1"/>
  <c r="F71" i="6"/>
  <c r="E77" i="6"/>
  <c r="E30" i="6"/>
  <c r="G70" i="6"/>
  <c r="G23" i="6"/>
  <c r="F29" i="6" l="1"/>
  <c r="F76" i="6"/>
  <c r="E78" i="6"/>
  <c r="E50" i="6"/>
  <c r="E31" i="6"/>
  <c r="E79" i="6" s="1"/>
  <c r="G71" i="6"/>
  <c r="G28" i="6"/>
  <c r="F77" i="6" l="1"/>
  <c r="F30" i="6"/>
  <c r="G29" i="6"/>
  <c r="G77" i="6" s="1"/>
  <c r="G76" i="6"/>
  <c r="E32" i="6"/>
  <c r="G30" i="6" l="1"/>
  <c r="G31" i="6" s="1"/>
  <c r="G79" i="6" s="1"/>
  <c r="E15" i="6"/>
  <c r="E80" i="6"/>
  <c r="F50" i="6"/>
  <c r="F31" i="6"/>
  <c r="F78" i="6"/>
  <c r="G50" i="6" l="1"/>
  <c r="G78" i="6"/>
  <c r="G32" i="6"/>
  <c r="G80" i="6" s="1"/>
  <c r="E14" i="6"/>
  <c r="E51" i="6"/>
  <c r="E52" i="6"/>
  <c r="F79" i="6"/>
  <c r="F32" i="6"/>
  <c r="F80" i="6" s="1"/>
  <c r="F15" i="6" l="1"/>
  <c r="F51" i="6" l="1"/>
  <c r="F14" i="6"/>
  <c r="F52" i="6"/>
  <c r="G15" i="6"/>
  <c r="G52" i="6" l="1"/>
  <c r="G14" i="6"/>
  <c r="G51" i="6"/>
</calcChain>
</file>

<file path=xl/comments1.xml><?xml version="1.0" encoding="utf-8"?>
<comments xmlns="http://schemas.openxmlformats.org/spreadsheetml/2006/main">
  <authors>
    <author>Administrator</author>
    <author>TYeager</author>
  </authors>
  <commentList>
    <comment ref="B6" authorId="0" shapeId="0">
      <text>
        <r>
          <rPr>
            <sz val="9"/>
            <color indexed="81"/>
            <rFont val="Tahoma"/>
            <family val="2"/>
          </rPr>
          <t>Your geographical cohort of banks used to compute the chargeoff rates of the simulation</t>
        </r>
      </text>
    </comment>
    <comment ref="C6" authorId="0" shapeId="0">
      <text>
        <r>
          <rPr>
            <sz val="9"/>
            <color indexed="81"/>
            <rFont val="Tahoma"/>
            <family val="2"/>
          </rPr>
          <t>The percentile of the  chargeoff rates from the cohort used for the simulation</t>
        </r>
      </text>
    </comment>
    <comment ref="D6" authorId="1" shapeId="0">
      <text>
        <r>
          <rPr>
            <sz val="9"/>
            <color indexed="81"/>
            <rFont val="Tahoma"/>
            <family val="2"/>
          </rPr>
          <t>Best estimate of the bank's annual average growth rate over the next 5 years.  Actual forecasted growth rates will be somewhat lower because charged off loans are not repalced.  Note that at a 0% growth rate, loans will shrink by the amount of loan losses each year.</t>
        </r>
      </text>
    </comment>
    <comment ref="A9" authorId="1" shapeId="0">
      <text>
        <r>
          <rPr>
            <sz val="9"/>
            <color indexed="81"/>
            <rFont val="Tahoma"/>
            <family val="2"/>
          </rPr>
          <t>Check to ensure that the total CRE loan amount entered equals the CRE loan amount on the call report, which includes Multifamily, Ag secured by real estate, CLD, and nonfarm nonresidential.</t>
        </r>
      </text>
    </comment>
    <comment ref="B9" authorId="1" shapeId="0">
      <text>
        <r>
          <rPr>
            <sz val="9"/>
            <color indexed="81"/>
            <rFont val="Tahoma"/>
            <family val="2"/>
          </rPr>
          <t>End of quarter loan balance in the given loan category.</t>
        </r>
      </text>
    </comment>
    <comment ref="C9" authorId="1" shapeId="0">
      <text>
        <r>
          <rPr>
            <sz val="9"/>
            <color indexed="81"/>
            <rFont val="Tahoma"/>
            <family val="2"/>
          </rPr>
          <t>Average annual interest rate charged for each loan category.  This value can be computed by taking YTD interest income and dividing by the average YTD loan balance.</t>
        </r>
      </text>
    </comment>
    <comment ref="D9" authorId="1" shapeId="0">
      <text>
        <r>
          <rPr>
            <sz val="9"/>
            <color indexed="81"/>
            <rFont val="Tahoma"/>
            <family val="2"/>
          </rPr>
          <t xml:space="preserve">Net chargeoffs, YTD.
</t>
        </r>
      </text>
    </comment>
    <comment ref="B17" authorId="1" shapeId="0">
      <text>
        <r>
          <rPr>
            <sz val="9"/>
            <color indexed="81"/>
            <rFont val="Tahoma"/>
            <family val="2"/>
          </rPr>
          <t>End of quarter loan balance in the given loan category.</t>
        </r>
      </text>
    </comment>
    <comment ref="C17" authorId="1" shapeId="0">
      <text>
        <r>
          <rPr>
            <sz val="9"/>
            <color indexed="81"/>
            <rFont val="Tahoma"/>
            <family val="2"/>
          </rPr>
          <t>Average annual interest rate charged for each loan category.  This value can be computed by taking YTD interest income and dividing by the average YTD loan balance.</t>
        </r>
      </text>
    </comment>
    <comment ref="D17" authorId="1" shapeId="0">
      <text>
        <r>
          <rPr>
            <sz val="9"/>
            <color indexed="81"/>
            <rFont val="Tahoma"/>
            <family val="2"/>
          </rPr>
          <t xml:space="preserve">Net chargeoffs, YTD.
</t>
        </r>
      </text>
    </comment>
    <comment ref="A32" authorId="1" shapeId="0">
      <text>
        <r>
          <rPr>
            <sz val="9"/>
            <color indexed="81"/>
            <rFont val="Tahoma"/>
            <family val="2"/>
          </rPr>
          <t>Select the checkbox to the right if the securities gains are recurring (expected to continue each year).  Leave the box unchecked if the gains are more likely one-time gains.</t>
        </r>
      </text>
    </comment>
    <comment ref="A34" authorId="1" shapeId="0">
      <text>
        <r>
          <rPr>
            <sz val="9"/>
            <color indexed="81"/>
            <rFont val="Tahoma"/>
            <family val="2"/>
          </rPr>
          <t xml:space="preserve">Select the checkbox to the right if dividends are projected to be fixed dollar amounts each period rather than a percentage of income.
</t>
        </r>
      </text>
    </comment>
  </commentList>
</comments>
</file>

<file path=xl/sharedStrings.xml><?xml version="1.0" encoding="utf-8"?>
<sst xmlns="http://schemas.openxmlformats.org/spreadsheetml/2006/main" count="734" uniqueCount="206">
  <si>
    <t>Year</t>
  </si>
  <si>
    <t>Income Statement</t>
  </si>
  <si>
    <t>Provision</t>
  </si>
  <si>
    <t>Net income</t>
  </si>
  <si>
    <t>Dividend Payout</t>
  </si>
  <si>
    <t>Retained Earnings</t>
  </si>
  <si>
    <t>Equity</t>
  </si>
  <si>
    <t>Balance Sheet (EOP)</t>
  </si>
  <si>
    <t>Taxes</t>
  </si>
  <si>
    <t>Operating income</t>
  </si>
  <si>
    <t>Total Prinicipal Balance</t>
  </si>
  <si>
    <t>MORTGAGES</t>
  </si>
  <si>
    <t>CONSUMER</t>
  </si>
  <si>
    <t>Securities</t>
  </si>
  <si>
    <t>OTHER LOANS</t>
  </si>
  <si>
    <t>COMMERCIAL AND INDUSTRIAL PORTFOLIO</t>
  </si>
  <si>
    <t>MORTGAGE PORTFOLIO</t>
  </si>
  <si>
    <t>CONSUMER PORTFOLIO</t>
  </si>
  <si>
    <t>C &amp; I LOANS</t>
  </si>
  <si>
    <t>AGRICULTURAL PORTFOLIO</t>
  </si>
  <si>
    <t>AG LOANS</t>
  </si>
  <si>
    <t>Noninterest income</t>
  </si>
  <si>
    <t>Noninterest expense</t>
  </si>
  <si>
    <t>OTHER LOANS PORTFOLIO</t>
  </si>
  <si>
    <t>SECURITIES</t>
  </si>
  <si>
    <t>SECURITES PORTFOLIO</t>
  </si>
  <si>
    <t>Liabilities</t>
  </si>
  <si>
    <t>Total Earning Assets</t>
  </si>
  <si>
    <t>Year:</t>
  </si>
  <si>
    <t>Quarter:</t>
  </si>
  <si>
    <t>FEDERAL FUNDS PORTFOLIO</t>
  </si>
  <si>
    <t>FEDERAL FUNDS</t>
  </si>
  <si>
    <t>INTEREST BEARING BANK BALANCES PORTFOLIO</t>
  </si>
  <si>
    <t>INTEREST BEARING BALANCES</t>
  </si>
  <si>
    <t>Non-Earning Assets</t>
  </si>
  <si>
    <t>Total Assets</t>
  </si>
  <si>
    <t>Securities &amp; Extraordinary gains</t>
  </si>
  <si>
    <t>Interest Bearing Balances</t>
  </si>
  <si>
    <t>Equity to assets</t>
  </si>
  <si>
    <t>Mortgages</t>
  </si>
  <si>
    <t>Consumer</t>
  </si>
  <si>
    <t>Commercial &amp; Industrial</t>
  </si>
  <si>
    <t>Agricultural</t>
  </si>
  <si>
    <t>Federal Funds Sold</t>
  </si>
  <si>
    <t>Interest expense</t>
  </si>
  <si>
    <t>Average assets</t>
  </si>
  <si>
    <t>Annual Interest rate (%)</t>
  </si>
  <si>
    <t>Loan Amount ($000s)</t>
  </si>
  <si>
    <t>Other Loans &amp; Securities</t>
  </si>
  <si>
    <t>Securities &amp; Extra. gains</t>
  </si>
  <si>
    <t>Other Items</t>
  </si>
  <si>
    <t>Balance Sheet ($000s)</t>
  </si>
  <si>
    <t>Profitability and Capital (%)</t>
  </si>
  <si>
    <t>Interest income</t>
  </si>
  <si>
    <t>Net Interest Income</t>
  </si>
  <si>
    <t>Loans by Category ($000s)</t>
  </si>
  <si>
    <t>Non-earning assets</t>
  </si>
  <si>
    <t>Total Liabilities</t>
  </si>
  <si>
    <t xml:space="preserve">     LLR</t>
  </si>
  <si>
    <t>Asset Growth  Rate</t>
  </si>
  <si>
    <t>Current Loss Rate</t>
  </si>
  <si>
    <t>INT RATE (annualized)</t>
  </si>
  <si>
    <t>CURRENT YTD NET LOSSES ($000s)</t>
  </si>
  <si>
    <t>Int Received (annualized)</t>
  </si>
  <si>
    <t>Loan Loss Amount (annualized)</t>
  </si>
  <si>
    <t>Int income (annualized)</t>
  </si>
  <si>
    <t>Provision (annualized)</t>
  </si>
  <si>
    <t>Income Statement (annualized in $000s)</t>
  </si>
  <si>
    <t>ROA (annualized)</t>
  </si>
  <si>
    <t>ROE (annualized)</t>
  </si>
  <si>
    <t>Income Statement (YTD in $000s)</t>
  </si>
  <si>
    <t>Commercial Real Estate</t>
  </si>
  <si>
    <t>Enter dollar amounts as year-to-date</t>
  </si>
  <si>
    <t>Loan Loss Reserves (ALLL)</t>
  </si>
  <si>
    <t>Provision expense</t>
  </si>
  <si>
    <t>MULTIFAM</t>
  </si>
  <si>
    <t>Loan growth</t>
  </si>
  <si>
    <t>NFR-Other</t>
  </si>
  <si>
    <t>FARM</t>
  </si>
  <si>
    <t>CLD-Other</t>
  </si>
  <si>
    <t>CLD-Residential</t>
  </si>
  <si>
    <t>MULTIFAM PORTFOLIO</t>
  </si>
  <si>
    <t>NFR_OTHER PORTFOLIO</t>
  </si>
  <si>
    <t>NFR_OWN PORTFOLIO</t>
  </si>
  <si>
    <t>FARM PORTFOLIO</t>
  </si>
  <si>
    <t>CLD_OTHER PORTFOLIO</t>
  </si>
  <si>
    <t>CLD_RES PORTFOLIO</t>
  </si>
  <si>
    <t>NFR_OWN Loans</t>
  </si>
  <si>
    <t>FARM LOANS</t>
  </si>
  <si>
    <t>CLD OTHER LOANS</t>
  </si>
  <si>
    <t>CLD RES LOANS</t>
  </si>
  <si>
    <t>OTHER</t>
  </si>
  <si>
    <t>NFR-Owner Occupied</t>
  </si>
  <si>
    <t>Cert</t>
  </si>
  <si>
    <t>MSA</t>
  </si>
  <si>
    <t>Other Loans</t>
  </si>
  <si>
    <t>$000s</t>
  </si>
  <si>
    <t>Asset Amount ($000s)</t>
  </si>
  <si>
    <t>Y1</t>
  </si>
  <si>
    <t>Y2</t>
  </si>
  <si>
    <t>Y3</t>
  </si>
  <si>
    <t>Y4</t>
  </si>
  <si>
    <t>Y5</t>
  </si>
  <si>
    <t>Y0</t>
  </si>
  <si>
    <t>Growth rate:</t>
  </si>
  <si>
    <t>Total Loans</t>
  </si>
  <si>
    <t>YTD net losses ($000s)</t>
  </si>
  <si>
    <t>Loss Rate (annualized)</t>
  </si>
  <si>
    <t>NFR_Other Loans</t>
  </si>
  <si>
    <t>Multifam Loans</t>
  </si>
  <si>
    <t>Loan Balance</t>
  </si>
  <si>
    <t>Total Securities</t>
  </si>
  <si>
    <t>Total Federal Funds Sold</t>
  </si>
  <si>
    <t>Total Interest Bearing Balances</t>
  </si>
  <si>
    <t xml:space="preserve">     Net Loans</t>
  </si>
  <si>
    <t>U.S. Community Bank Stress Test</t>
  </si>
  <si>
    <t>YYYY</t>
  </si>
  <si>
    <t>1,2,3, or 4</t>
  </si>
  <si>
    <t>RCFD1460</t>
  </si>
  <si>
    <t>RCFDF161</t>
  </si>
  <si>
    <t>RCFDF160</t>
  </si>
  <si>
    <t>RCFD1420</t>
  </si>
  <si>
    <t>RCFDF158</t>
  </si>
  <si>
    <t>RCFDF159</t>
  </si>
  <si>
    <t>RCFD1590</t>
  </si>
  <si>
    <t>RCFD1797 +RCFD5367 +RCFD5368</t>
  </si>
  <si>
    <t>RCFDB538 +RCFDB539 +RCFDK137 +RCFDK207</t>
  </si>
  <si>
    <t>RCFD1763+ RCFD1764</t>
  </si>
  <si>
    <t>RCFDB532 +RCFDB533 +RCFDB534 +RCFD2081  +RCFD2107 + RCFD1563 +RCFDF162 +RCFDF163 +RCFD2123</t>
  </si>
  <si>
    <t>Federal Funds Sold &amp; Reverse Repos</t>
  </si>
  <si>
    <t>RCONB987+RCFDB989</t>
  </si>
  <si>
    <t>RCFD0071</t>
  </si>
  <si>
    <t>RIAD4073</t>
  </si>
  <si>
    <t>RIAD4093</t>
  </si>
  <si>
    <t>RIAD4079</t>
  </si>
  <si>
    <t>RIAD4230</t>
  </si>
  <si>
    <t>RIAD4302</t>
  </si>
  <si>
    <t>RIAD3123</t>
  </si>
  <si>
    <t>YTD AVG ASSETS</t>
  </si>
  <si>
    <t>RCFD0081 +RCFD2145 +RCFD2150 +RCFD2130 +RCFD3656 +RCFD3163 +RCFD0426 +RCFD2160</t>
  </si>
  <si>
    <t>RCFD2948</t>
  </si>
  <si>
    <t>Residential Mortgages</t>
  </si>
  <si>
    <t>FDIC CERT NO.</t>
  </si>
  <si>
    <t>RIAD4435/AVG_BAL</t>
  </si>
  <si>
    <t>(RIADB485 +RIADB486)/AVG_BAL</t>
  </si>
  <si>
    <t>RIAD4012/AVG_BAL</t>
  </si>
  <si>
    <t>RIAD4024/AVG_BAL</t>
  </si>
  <si>
    <t>RIAD4020/AVG_BAL</t>
  </si>
  <si>
    <t>RIAD4115/AVG_BAL</t>
  </si>
  <si>
    <t>(RIADB488 +RIADB489 +RIADB4060)/AVG_BAL</t>
  </si>
  <si>
    <t>RIAD4436/AVG_BAL</t>
  </si>
  <si>
    <t>RCFD1754 +RCFD1773</t>
  </si>
  <si>
    <t>RIAD3521 +RIAD3196</t>
  </si>
  <si>
    <t>RIAD4470 +RIAD4460</t>
  </si>
  <si>
    <t>GROWTH RATE IN %</t>
  </si>
  <si>
    <t>RIAD3588-RIAD3589</t>
  </si>
  <si>
    <t>RIADC897-RIADC898</t>
  </si>
  <si>
    <t>RIADC895-RIADC896</t>
  </si>
  <si>
    <t>RIAD3584-RIAD3585</t>
  </si>
  <si>
    <t>RIADC893-RIADC894</t>
  </si>
  <si>
    <t>RIADC891-RIADC892</t>
  </si>
  <si>
    <t>RIAD5411-RIAD5412 +RIADC234-RIADC217 +RIADC235-RIADC218</t>
  </si>
  <si>
    <t>RIADB514-RIADB515  +RIADK129-RIADK133 +RIADK205-RIADK206</t>
  </si>
  <si>
    <t>RIAD4645+RIAD4617 +RIAD4646-RIAD4618</t>
  </si>
  <si>
    <t>RIAD4655-RIAD4665</t>
  </si>
  <si>
    <t>RIAD4643-RIAD4627 +RIAD4644-RIAD4628 +RIADF185-RIADF187 +RIADC880-RIADF188 +RIAD4653-IAD4663 +RIAD4654-RIAD4664</t>
  </si>
  <si>
    <t>(RIAD4056 +RIADB487 +RIAD4059 +RIAD4065 +RIAD4518)/AVG_BAL</t>
  </si>
  <si>
    <t>Call Report Date of Year 0 of Simulation</t>
  </si>
  <si>
    <r>
      <t>C</t>
    </r>
    <r>
      <rPr>
        <b/>
        <sz val="12"/>
        <color theme="0"/>
        <rFont val="Arial"/>
        <family val="2"/>
      </rPr>
      <t>ALL</t>
    </r>
    <r>
      <rPr>
        <b/>
        <sz val="14"/>
        <color theme="0"/>
        <rFont val="Arial"/>
        <family val="2"/>
      </rPr>
      <t xml:space="preserve"> R</t>
    </r>
    <r>
      <rPr>
        <b/>
        <sz val="12"/>
        <color theme="0"/>
        <rFont val="Arial"/>
        <family val="2"/>
      </rPr>
      <t>EPORT</t>
    </r>
    <r>
      <rPr>
        <b/>
        <sz val="14"/>
        <color theme="0"/>
        <rFont val="Arial"/>
        <family val="2"/>
      </rPr>
      <t xml:space="preserve"> S</t>
    </r>
    <r>
      <rPr>
        <b/>
        <sz val="12"/>
        <color theme="0"/>
        <rFont val="Arial"/>
        <family val="2"/>
      </rPr>
      <t>OURCES</t>
    </r>
    <r>
      <rPr>
        <b/>
        <sz val="14"/>
        <color theme="0"/>
        <rFont val="Arial"/>
        <family val="2"/>
      </rPr>
      <t xml:space="preserve"> </t>
    </r>
    <r>
      <rPr>
        <b/>
        <sz val="12"/>
        <color theme="0"/>
        <rFont val="Arial"/>
        <family val="2"/>
      </rPr>
      <t>FOR</t>
    </r>
    <r>
      <rPr>
        <b/>
        <sz val="14"/>
        <color theme="0"/>
        <rFont val="Arial"/>
        <family val="2"/>
      </rPr>
      <t xml:space="preserve"> S</t>
    </r>
    <r>
      <rPr>
        <b/>
        <sz val="12"/>
        <color theme="0"/>
        <rFont val="Arial"/>
        <family val="2"/>
      </rPr>
      <t>TRESS</t>
    </r>
    <r>
      <rPr>
        <b/>
        <sz val="14"/>
        <color theme="0"/>
        <rFont val="Arial"/>
        <family val="2"/>
      </rPr>
      <t>-T</t>
    </r>
    <r>
      <rPr>
        <b/>
        <sz val="12"/>
        <color theme="0"/>
        <rFont val="Arial"/>
        <family val="2"/>
      </rPr>
      <t>EST</t>
    </r>
    <r>
      <rPr>
        <b/>
        <sz val="14"/>
        <color theme="0"/>
        <rFont val="Arial"/>
        <family val="2"/>
      </rPr>
      <t xml:space="preserve"> D</t>
    </r>
    <r>
      <rPr>
        <b/>
        <sz val="12"/>
        <color theme="0"/>
        <rFont val="Arial"/>
        <family val="2"/>
      </rPr>
      <t>ATA</t>
    </r>
  </si>
  <si>
    <r>
      <t>C</t>
    </r>
    <r>
      <rPr>
        <b/>
        <sz val="11"/>
        <color theme="0"/>
        <rFont val="Arial"/>
        <family val="2"/>
      </rPr>
      <t>URRENT</t>
    </r>
    <r>
      <rPr>
        <b/>
        <sz val="12"/>
        <color theme="0"/>
        <rFont val="Arial"/>
        <family val="2"/>
      </rPr>
      <t xml:space="preserve"> S</t>
    </r>
    <r>
      <rPr>
        <b/>
        <sz val="11"/>
        <color theme="0"/>
        <rFont val="Arial"/>
        <family val="2"/>
      </rPr>
      <t>IMULATION</t>
    </r>
    <r>
      <rPr>
        <b/>
        <sz val="12"/>
        <color theme="0"/>
        <rFont val="Arial"/>
        <family val="2"/>
      </rPr>
      <t xml:space="preserve"> P</t>
    </r>
    <r>
      <rPr>
        <b/>
        <sz val="11"/>
        <color theme="0"/>
        <rFont val="Arial"/>
        <family val="2"/>
      </rPr>
      <t>ROJECTED</t>
    </r>
    <r>
      <rPr>
        <b/>
        <sz val="12"/>
        <color theme="0"/>
        <rFont val="Arial"/>
        <family val="2"/>
      </rPr>
      <t xml:space="preserve"> L</t>
    </r>
    <r>
      <rPr>
        <b/>
        <sz val="11"/>
        <color theme="0"/>
        <rFont val="Arial"/>
        <family val="2"/>
      </rPr>
      <t>OSS</t>
    </r>
    <r>
      <rPr>
        <b/>
        <sz val="12"/>
        <color theme="0"/>
        <rFont val="Arial"/>
        <family val="2"/>
      </rPr>
      <t xml:space="preserve"> R</t>
    </r>
    <r>
      <rPr>
        <b/>
        <sz val="11"/>
        <color theme="0"/>
        <rFont val="Arial"/>
        <family val="2"/>
      </rPr>
      <t>ATES</t>
    </r>
  </si>
  <si>
    <t>© Professor Timothy J. Yeager, Sam M. Walton College of Business, 2015</t>
  </si>
  <si>
    <t>Metropolitan Statistical Area</t>
  </si>
  <si>
    <t>COHORT</t>
  </si>
  <si>
    <t>PCTL Loss Rate</t>
  </si>
  <si>
    <t>Your MSA</t>
  </si>
  <si>
    <t>CBSA,RURAL,MSA, OR STATE</t>
  </si>
  <si>
    <t>Percentile Loss Rate</t>
  </si>
  <si>
    <t>between 50% and 90%</t>
  </si>
  <si>
    <t>Call Report Date:  Year 0 of Simulation</t>
  </si>
  <si>
    <t>Metropolitan Statistical Area:</t>
  </si>
  <si>
    <t>Loan Loss Cohort:</t>
  </si>
  <si>
    <t>Percentile Loss Rate:</t>
  </si>
  <si>
    <t>FFIEC FORM 031</t>
  </si>
  <si>
    <t>my MSA</t>
  </si>
  <si>
    <t>myMSA</t>
  </si>
  <si>
    <t>myCommunityBank</t>
  </si>
  <si>
    <t>my Community Bank Stress Test Results</t>
  </si>
  <si>
    <t>Net Chargeoffs (annualized in $000s)</t>
  </si>
  <si>
    <t>Net chargeoffs</t>
  </si>
  <si>
    <t>Annualized Net Chargeoffs to Loans (%)</t>
  </si>
  <si>
    <t>Net chargeoffs to total loans</t>
  </si>
  <si>
    <t>MULTIFAMILY</t>
  </si>
  <si>
    <t>NFR-OTHER</t>
  </si>
  <si>
    <t>NFR-OWNER OCCUPIED</t>
  </si>
  <si>
    <t>CLD-OTHER</t>
  </si>
  <si>
    <t>CLD-RESIDENTIAL</t>
  </si>
  <si>
    <t>RESIDENTIAL MORTGAGES</t>
  </si>
  <si>
    <t>COMMERCIAL &amp; INDUSTRIAL</t>
  </si>
  <si>
    <t>AGRICULTURE</t>
  </si>
  <si>
    <t xml:space="preserve">   Multifamily</t>
  </si>
  <si>
    <t xml:space="preserve">   NFR-Other</t>
  </si>
  <si>
    <t xml:space="preserve">   NFR-OwnerOccupied</t>
  </si>
  <si>
    <t xml:space="preserve">   Farm</t>
  </si>
  <si>
    <t xml:space="preserve">   CLD-Other</t>
  </si>
  <si>
    <t xml:space="preserve">   CLD-Residential</t>
  </si>
  <si>
    <t>Agriculture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</si>
</sst>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8" formatCode="&quot;$&quot;#,##0.00_);[Red]\(&quot;$&quot;#,##0.00\)"/>
    <numFmt numFmtId="164" formatCode="0.0000"/>
    <numFmt numFmtId="165" formatCode="0.0%"/>
    <numFmt numFmtId="166" formatCode="&quot;$&quot;#,##0"/>
    <numFmt numFmtId="167" formatCode="0.0"/>
    <numFmt numFmtId="168" formatCode="&quot;$&quot;#,##0.00"/>
  </numFmts>
  <fonts count="30" x14ac:knownFonts="1">
    <font>
      <sz val="10"/>
      <name val="Arial"/>
    </font>
    <font>
      <sz val="10"/>
      <name val="Arial"/>
      <family val="2"/>
    </font>
    <font>
      <sz val="8"/>
      <name val="Arial"/>
      <family val="2"/>
    </font>
    <font>
      <b/>
      <sz val="10"/>
      <name val="Arial"/>
      <family val="2"/>
    </font>
    <font>
      <b/>
      <sz val="10"/>
      <color indexed="10"/>
      <name val="Arial"/>
      <family val="2"/>
    </font>
    <font>
      <b/>
      <sz val="10"/>
      <color indexed="12"/>
      <name val="Arial"/>
      <family val="2"/>
    </font>
    <font>
      <sz val="10"/>
      <color indexed="10"/>
      <name val="Arial"/>
      <family val="2"/>
    </font>
    <font>
      <sz val="10"/>
      <name val="Arial"/>
      <family val="2"/>
    </font>
    <font>
      <i/>
      <sz val="10"/>
      <name val="Arial"/>
      <family val="2"/>
    </font>
    <font>
      <sz val="10"/>
      <color indexed="12"/>
      <name val="Arial"/>
      <family val="2"/>
    </font>
    <font>
      <b/>
      <i/>
      <sz val="10"/>
      <name val="Arial"/>
      <family val="2"/>
    </font>
    <font>
      <sz val="9"/>
      <color indexed="81"/>
      <name val="Tahoma"/>
      <family val="2"/>
    </font>
    <font>
      <sz val="8"/>
      <color rgb="FF000000"/>
      <name val="Tahoma"/>
      <family val="2"/>
    </font>
    <font>
      <b/>
      <sz val="10"/>
      <color rgb="FF0000D4"/>
      <name val="Arial"/>
      <family val="2"/>
    </font>
    <font>
      <b/>
      <sz val="10"/>
      <color rgb="FF0000FF"/>
      <name val="Arial"/>
      <family val="2"/>
    </font>
    <font>
      <sz val="10"/>
      <color rgb="FF0000D4"/>
      <name val="Arial"/>
      <family val="2"/>
    </font>
    <font>
      <u/>
      <sz val="10"/>
      <color theme="10"/>
      <name val="Arial"/>
      <family val="2"/>
    </font>
    <font>
      <u/>
      <sz val="10"/>
      <color theme="11"/>
      <name val="Arial"/>
      <family val="2"/>
    </font>
    <font>
      <sz val="11"/>
      <color rgb="FF000000"/>
      <name val="Calibri"/>
      <family val="2"/>
    </font>
    <font>
      <sz val="10"/>
      <color theme="1"/>
      <name val="Arial"/>
      <family val="2"/>
    </font>
    <font>
      <sz val="10"/>
      <color theme="1" tint="0.34998626667073579"/>
      <name val="Arial"/>
      <family val="2"/>
    </font>
    <font>
      <sz val="9"/>
      <color theme="1"/>
      <name val="Arial"/>
      <family val="2"/>
    </font>
    <font>
      <b/>
      <sz val="11"/>
      <color theme="0"/>
      <name val="Arial"/>
      <family val="2"/>
    </font>
    <font>
      <b/>
      <sz val="12"/>
      <color theme="0"/>
      <name val="Arial"/>
      <family val="2"/>
    </font>
    <font>
      <b/>
      <sz val="14"/>
      <color theme="0"/>
      <name val="Arial"/>
      <family val="2"/>
    </font>
    <font>
      <i/>
      <sz val="9"/>
      <name val="Arial"/>
      <family val="2"/>
    </font>
    <font>
      <b/>
      <sz val="10"/>
      <color theme="1"/>
      <name val="Arial"/>
      <family val="2"/>
    </font>
    <font>
      <b/>
      <sz val="16"/>
      <color theme="9"/>
      <name val="Arial"/>
      <family val="2"/>
    </font>
    <font>
      <sz val="10"/>
      <color theme="9"/>
      <name val="Arial"/>
      <family val="2"/>
    </font>
    <font>
      <b/>
      <sz val="10"/>
      <color theme="9" tint="-0.249977111117893"/>
      <name val="Arial"/>
      <family val="2"/>
    </font>
  </fonts>
  <fills count="7">
    <fill>
      <patternFill patternType="none"/>
    </fill>
    <fill>
      <patternFill patternType="gray125"/>
    </fill>
    <fill>
      <patternFill patternType="solid">
        <fgColor indexed="44"/>
        <bgColor indexed="64"/>
      </patternFill>
    </fill>
    <fill>
      <patternFill patternType="solid">
        <fgColor theme="2"/>
        <bgColor indexed="64"/>
      </patternFill>
    </fill>
    <fill>
      <patternFill patternType="solid">
        <fgColor theme="2"/>
        <bgColor rgb="FF000000"/>
      </patternFill>
    </fill>
    <fill>
      <patternFill patternType="solid">
        <fgColor rgb="FF002060"/>
        <bgColor indexed="64"/>
      </patternFill>
    </fill>
    <fill>
      <patternFill patternType="solid">
        <fgColor theme="9" tint="0.79998168889431442"/>
        <bgColor indexed="64"/>
      </patternFill>
    </fill>
  </fills>
  <borders count="13">
    <border>
      <left/>
      <right/>
      <top/>
      <bottom/>
      <diagonal/>
    </border>
    <border>
      <left style="medium">
        <color auto="1"/>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bottom style="thin">
        <color auto="1"/>
      </bottom>
      <diagonal/>
    </border>
    <border>
      <left style="thin">
        <color auto="1"/>
      </left>
      <right/>
      <top/>
      <bottom style="thin">
        <color auto="1"/>
      </bottom>
      <diagonal/>
    </border>
    <border>
      <left style="thin">
        <color auto="1"/>
      </left>
      <right/>
      <top style="thin">
        <color auto="1"/>
      </top>
      <bottom/>
      <diagonal/>
    </border>
    <border>
      <left/>
      <right style="thin">
        <color indexed="64"/>
      </right>
      <top style="thin">
        <color indexed="64"/>
      </top>
      <bottom/>
      <diagonal/>
    </border>
  </borders>
  <cellStyleXfs count="4">
    <xf numFmtId="0" fontId="0" fillId="0" borderId="0"/>
    <xf numFmtId="9" fontId="1" fillId="0" borderId="0" applyFon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cellStyleXfs>
  <cellXfs count="138">
    <xf numFmtId="0" fontId="0" fillId="0" borderId="0" xfId="0"/>
    <xf numFmtId="2" fontId="0" fillId="0" borderId="0" xfId="0" applyNumberFormat="1"/>
    <xf numFmtId="0" fontId="3" fillId="0" borderId="0" xfId="0" applyFont="1"/>
    <xf numFmtId="2" fontId="4" fillId="0" borderId="0" xfId="0" applyNumberFormat="1" applyFont="1"/>
    <xf numFmtId="0" fontId="5" fillId="0" borderId="0" xfId="0" applyFont="1"/>
    <xf numFmtId="2" fontId="5" fillId="0" borderId="0" xfId="0" applyNumberFormat="1" applyFont="1"/>
    <xf numFmtId="8" fontId="0" fillId="0" borderId="0" xfId="0" applyNumberFormat="1"/>
    <xf numFmtId="10" fontId="0" fillId="0" borderId="0" xfId="0" applyNumberFormat="1"/>
    <xf numFmtId="2" fontId="6" fillId="0" borderId="0" xfId="0" applyNumberFormat="1" applyFont="1"/>
    <xf numFmtId="0" fontId="0" fillId="0" borderId="0" xfId="0" applyBorder="1"/>
    <xf numFmtId="0" fontId="0" fillId="0" borderId="1" xfId="0" applyBorder="1"/>
    <xf numFmtId="2" fontId="0" fillId="0" borderId="0" xfId="0" applyNumberFormat="1" applyBorder="1"/>
    <xf numFmtId="10" fontId="0" fillId="0" borderId="0" xfId="0" applyNumberFormat="1" applyBorder="1"/>
    <xf numFmtId="164" fontId="0" fillId="0" borderId="0" xfId="0" applyNumberFormat="1"/>
    <xf numFmtId="0" fontId="7" fillId="0" borderId="0" xfId="0" applyFont="1"/>
    <xf numFmtId="10" fontId="7" fillId="0" borderId="0" xfId="0" applyNumberFormat="1" applyFont="1"/>
    <xf numFmtId="10" fontId="1" fillId="0" borderId="0" xfId="0" applyNumberFormat="1" applyFont="1"/>
    <xf numFmtId="0" fontId="8" fillId="0" borderId="0" xfId="0" applyFont="1"/>
    <xf numFmtId="3" fontId="7" fillId="0" borderId="0" xfId="0" applyNumberFormat="1" applyFont="1"/>
    <xf numFmtId="3" fontId="0" fillId="0" borderId="0" xfId="0" applyNumberFormat="1"/>
    <xf numFmtId="3" fontId="0" fillId="0" borderId="0" xfId="0" applyNumberFormat="1" applyBorder="1"/>
    <xf numFmtId="3" fontId="0" fillId="0" borderId="2" xfId="0" applyNumberFormat="1" applyBorder="1"/>
    <xf numFmtId="3" fontId="1" fillId="0" borderId="0" xfId="0" applyNumberFormat="1" applyFont="1"/>
    <xf numFmtId="0" fontId="0" fillId="0" borderId="0" xfId="0" applyFill="1" applyBorder="1"/>
    <xf numFmtId="166" fontId="1" fillId="0" borderId="0" xfId="0" applyNumberFormat="1" applyFont="1" applyAlignment="1">
      <alignment horizontal="right"/>
    </xf>
    <xf numFmtId="166" fontId="7" fillId="0" borderId="0" xfId="0" applyNumberFormat="1" applyFont="1" applyAlignment="1">
      <alignment horizontal="right"/>
    </xf>
    <xf numFmtId="0" fontId="0" fillId="0" borderId="3" xfId="0" applyBorder="1"/>
    <xf numFmtId="0" fontId="3" fillId="0" borderId="3" xfId="0" applyFont="1" applyBorder="1"/>
    <xf numFmtId="3" fontId="1" fillId="0" borderId="2" xfId="0" applyNumberFormat="1" applyFont="1" applyBorder="1"/>
    <xf numFmtId="3" fontId="0" fillId="0" borderId="0" xfId="0" applyNumberFormat="1" applyFill="1"/>
    <xf numFmtId="0" fontId="3" fillId="2" borderId="4" xfId="0" applyFont="1" applyFill="1" applyBorder="1"/>
    <xf numFmtId="0" fontId="3" fillId="2" borderId="5" xfId="0" applyFont="1" applyFill="1" applyBorder="1"/>
    <xf numFmtId="0" fontId="0" fillId="2" borderId="6" xfId="0" applyFill="1" applyBorder="1"/>
    <xf numFmtId="0" fontId="3" fillId="2" borderId="3" xfId="0" applyFont="1" applyFill="1" applyBorder="1"/>
    <xf numFmtId="0" fontId="3" fillId="2" borderId="3" xfId="0" applyFont="1" applyFill="1" applyBorder="1" applyAlignment="1">
      <alignment horizontal="center"/>
    </xf>
    <xf numFmtId="0" fontId="3" fillId="2" borderId="3" xfId="0" applyFont="1" applyFill="1" applyBorder="1" applyAlignment="1">
      <alignment horizontal="center" wrapText="1"/>
    </xf>
    <xf numFmtId="0" fontId="0" fillId="0" borderId="3" xfId="0" applyFill="1" applyBorder="1"/>
    <xf numFmtId="0" fontId="3" fillId="2" borderId="7" xfId="0" applyFont="1" applyFill="1" applyBorder="1"/>
    <xf numFmtId="0" fontId="0" fillId="0" borderId="4" xfId="0" applyBorder="1"/>
    <xf numFmtId="3" fontId="9" fillId="0" borderId="4" xfId="0" applyNumberFormat="1" applyFont="1" applyBorder="1"/>
    <xf numFmtId="0" fontId="5" fillId="0" borderId="0" xfId="0" applyFont="1" applyBorder="1"/>
    <xf numFmtId="0" fontId="0" fillId="0" borderId="2" xfId="0" applyBorder="1"/>
    <xf numFmtId="0" fontId="3" fillId="2" borderId="3" xfId="0" applyFont="1" applyFill="1" applyBorder="1" applyAlignment="1"/>
    <xf numFmtId="4" fontId="0" fillId="0" borderId="0" xfId="0" applyNumberFormat="1"/>
    <xf numFmtId="0" fontId="3" fillId="0" borderId="0" xfId="0" applyFont="1" applyBorder="1" applyAlignment="1">
      <alignment horizontal="right"/>
    </xf>
    <xf numFmtId="4" fontId="0" fillId="0" borderId="0" xfId="0" applyNumberFormat="1" applyFont="1"/>
    <xf numFmtId="0" fontId="7" fillId="0" borderId="0" xfId="0" applyFont="1" applyBorder="1"/>
    <xf numFmtId="0" fontId="0" fillId="0" borderId="0" xfId="0" applyNumberFormat="1"/>
    <xf numFmtId="0" fontId="7" fillId="0" borderId="0" xfId="0" applyNumberFormat="1" applyFont="1"/>
    <xf numFmtId="0" fontId="0" fillId="0" borderId="0" xfId="0" applyAlignment="1">
      <alignment horizontal="center"/>
    </xf>
    <xf numFmtId="10" fontId="0" fillId="0" borderId="0" xfId="1" applyNumberFormat="1" applyFont="1"/>
    <xf numFmtId="0" fontId="0" fillId="0" borderId="0" xfId="0" applyFont="1" applyFill="1" applyBorder="1"/>
    <xf numFmtId="1" fontId="0" fillId="0" borderId="0" xfId="0" applyNumberFormat="1"/>
    <xf numFmtId="0" fontId="3" fillId="0" borderId="0" xfId="0" applyFont="1" applyFill="1"/>
    <xf numFmtId="0" fontId="15" fillId="0" borderId="2" xfId="0" applyFont="1" applyBorder="1"/>
    <xf numFmtId="3" fontId="15" fillId="0" borderId="4" xfId="0" applyNumberFormat="1" applyFont="1" applyBorder="1"/>
    <xf numFmtId="3" fontId="13" fillId="0" borderId="0" xfId="0" applyNumberFormat="1" applyFont="1"/>
    <xf numFmtId="0" fontId="1" fillId="0" borderId="0" xfId="0" applyFont="1"/>
    <xf numFmtId="2" fontId="18" fillId="0" borderId="0" xfId="0" applyNumberFormat="1" applyFont="1" applyFill="1" applyBorder="1"/>
    <xf numFmtId="0" fontId="18" fillId="0" borderId="2" xfId="0" applyFont="1" applyFill="1" applyBorder="1" applyAlignment="1">
      <alignment horizontal="right"/>
    </xf>
    <xf numFmtId="164" fontId="18" fillId="0" borderId="0" xfId="0" applyNumberFormat="1" applyFont="1" applyFill="1" applyBorder="1"/>
    <xf numFmtId="0" fontId="7" fillId="0" borderId="2" xfId="0" applyFont="1" applyBorder="1"/>
    <xf numFmtId="3" fontId="19" fillId="0" borderId="0" xfId="0" applyNumberFormat="1" applyFont="1"/>
    <xf numFmtId="167" fontId="0" fillId="0" borderId="0" xfId="0" applyNumberFormat="1"/>
    <xf numFmtId="0" fontId="1" fillId="0" borderId="3" xfId="0" applyFont="1" applyFill="1" applyBorder="1"/>
    <xf numFmtId="0" fontId="1" fillId="0" borderId="3" xfId="0" applyFont="1" applyBorder="1"/>
    <xf numFmtId="0" fontId="5" fillId="3" borderId="3" xfId="0" applyFont="1" applyFill="1" applyBorder="1"/>
    <xf numFmtId="0" fontId="5" fillId="3" borderId="3" xfId="1" applyNumberFormat="1" applyFont="1" applyFill="1" applyBorder="1" applyAlignment="1">
      <alignment horizontal="center"/>
    </xf>
    <xf numFmtId="3" fontId="5" fillId="3" borderId="3" xfId="0" applyNumberFormat="1" applyFont="1" applyFill="1" applyBorder="1"/>
    <xf numFmtId="10" fontId="13" fillId="4" borderId="3" xfId="0" applyNumberFormat="1" applyFont="1" applyFill="1" applyBorder="1"/>
    <xf numFmtId="3" fontId="14" fillId="4" borderId="6" xfId="0" applyNumberFormat="1" applyFont="1" applyFill="1" applyBorder="1"/>
    <xf numFmtId="3" fontId="14" fillId="4" borderId="9" xfId="0" applyNumberFormat="1" applyFont="1" applyFill="1" applyBorder="1"/>
    <xf numFmtId="10" fontId="13" fillId="4" borderId="7" xfId="0" applyNumberFormat="1" applyFont="1" applyFill="1" applyBorder="1"/>
    <xf numFmtId="3" fontId="13" fillId="4" borderId="9" xfId="0" applyNumberFormat="1" applyFont="1" applyFill="1" applyBorder="1"/>
    <xf numFmtId="0" fontId="10" fillId="2" borderId="4" xfId="0" applyFont="1" applyFill="1" applyBorder="1" applyAlignment="1">
      <alignment horizontal="right"/>
    </xf>
    <xf numFmtId="0" fontId="1" fillId="0" borderId="2" xfId="0" applyFont="1" applyBorder="1" applyAlignment="1">
      <alignment horizontal="right"/>
    </xf>
    <xf numFmtId="168" fontId="0" fillId="0" borderId="0" xfId="0" applyNumberFormat="1"/>
    <xf numFmtId="0" fontId="20" fillId="0" borderId="2" xfId="0" applyFont="1" applyBorder="1"/>
    <xf numFmtId="3" fontId="20" fillId="0" borderId="2" xfId="0" applyNumberFormat="1" applyFont="1" applyBorder="1"/>
    <xf numFmtId="0" fontId="19" fillId="0" borderId="0" xfId="0" applyFont="1"/>
    <xf numFmtId="0" fontId="20" fillId="0" borderId="0" xfId="0" applyFont="1" applyBorder="1"/>
    <xf numFmtId="3" fontId="20" fillId="0" borderId="0" xfId="0" applyNumberFormat="1" applyFont="1" applyBorder="1"/>
    <xf numFmtId="0" fontId="1" fillId="0" borderId="3" xfId="0" applyFont="1" applyBorder="1" applyAlignment="1">
      <alignment vertical="center"/>
    </xf>
    <xf numFmtId="0" fontId="3" fillId="0" borderId="3" xfId="0" applyFont="1" applyBorder="1" applyAlignment="1">
      <alignment vertical="center"/>
    </xf>
    <xf numFmtId="0" fontId="7" fillId="0" borderId="3" xfId="0" applyFont="1" applyFill="1" applyBorder="1" applyAlignment="1">
      <alignment vertical="center"/>
    </xf>
    <xf numFmtId="0" fontId="1" fillId="0" borderId="3" xfId="0" applyFont="1" applyFill="1" applyBorder="1" applyAlignment="1">
      <alignment vertical="center"/>
    </xf>
    <xf numFmtId="0" fontId="0" fillId="0" borderId="3" xfId="0" applyBorder="1" applyAlignment="1">
      <alignment vertical="center"/>
    </xf>
    <xf numFmtId="0" fontId="7" fillId="0" borderId="3" xfId="0" applyFont="1" applyBorder="1" applyAlignment="1">
      <alignment vertical="center"/>
    </xf>
    <xf numFmtId="0" fontId="7" fillId="0" borderId="8" xfId="0" applyFont="1" applyFill="1" applyBorder="1" applyAlignment="1">
      <alignment vertical="center"/>
    </xf>
    <xf numFmtId="0" fontId="0" fillId="0" borderId="3" xfId="0" applyFill="1" applyBorder="1" applyAlignment="1">
      <alignment vertical="center"/>
    </xf>
    <xf numFmtId="0" fontId="21" fillId="3" borderId="3" xfId="0" applyFont="1" applyFill="1" applyBorder="1" applyAlignment="1">
      <alignment horizontal="center"/>
    </xf>
    <xf numFmtId="0" fontId="21" fillId="3" borderId="3" xfId="0" applyFont="1" applyFill="1" applyBorder="1" applyAlignment="1">
      <alignment horizontal="center" vertical="center"/>
    </xf>
    <xf numFmtId="9" fontId="21" fillId="3" borderId="3" xfId="1" applyFont="1" applyFill="1" applyBorder="1" applyAlignment="1">
      <alignment horizontal="center"/>
    </xf>
    <xf numFmtId="0" fontId="21" fillId="3" borderId="3" xfId="0" applyFont="1" applyFill="1" applyBorder="1" applyAlignment="1">
      <alignment horizontal="center" vertical="center" wrapText="1"/>
    </xf>
    <xf numFmtId="0" fontId="1" fillId="0" borderId="0" xfId="0" applyFont="1" applyBorder="1"/>
    <xf numFmtId="0" fontId="3" fillId="2" borderId="5" xfId="0" applyFont="1" applyFill="1" applyBorder="1" applyAlignment="1">
      <alignment horizontal="center"/>
    </xf>
    <xf numFmtId="0" fontId="8" fillId="0" borderId="0" xfId="0" applyFont="1" applyAlignment="1">
      <alignment horizontal="right"/>
    </xf>
    <xf numFmtId="0" fontId="25" fillId="0" borderId="0" xfId="0" applyFont="1"/>
    <xf numFmtId="165" fontId="5" fillId="3" borderId="3" xfId="1" applyNumberFormat="1" applyFont="1" applyFill="1" applyBorder="1"/>
    <xf numFmtId="0" fontId="21" fillId="3" borderId="3" xfId="1" applyNumberFormat="1" applyFont="1" applyFill="1" applyBorder="1" applyAlignment="1">
      <alignment horizontal="center"/>
    </xf>
    <xf numFmtId="9" fontId="21" fillId="3" borderId="6" xfId="1" applyNumberFormat="1" applyFont="1" applyFill="1" applyBorder="1" applyAlignment="1">
      <alignment horizontal="center"/>
    </xf>
    <xf numFmtId="0" fontId="1" fillId="0" borderId="8" xfId="0" applyFont="1" applyFill="1" applyBorder="1"/>
    <xf numFmtId="0" fontId="3" fillId="6" borderId="4" xfId="0" applyFont="1" applyFill="1" applyBorder="1" applyAlignment="1">
      <alignment horizontal="left"/>
    </xf>
    <xf numFmtId="0" fontId="26" fillId="6" borderId="0" xfId="0" applyFont="1" applyFill="1" applyAlignment="1">
      <alignment horizontal="left"/>
    </xf>
    <xf numFmtId="9" fontId="3" fillId="6" borderId="0" xfId="0" applyNumberFormat="1" applyFont="1" applyFill="1" applyAlignment="1">
      <alignment horizontal="left"/>
    </xf>
    <xf numFmtId="0" fontId="1" fillId="6" borderId="5" xfId="0" applyFont="1" applyFill="1" applyBorder="1"/>
    <xf numFmtId="0" fontId="26" fillId="6" borderId="0" xfId="0" applyFont="1" applyFill="1" applyAlignment="1">
      <alignment horizontal="right"/>
    </xf>
    <xf numFmtId="9" fontId="3" fillId="6" borderId="0" xfId="0" applyNumberFormat="1" applyFont="1" applyFill="1" applyAlignment="1">
      <alignment horizontal="center"/>
    </xf>
    <xf numFmtId="0" fontId="26" fillId="6" borderId="5" xfId="0" applyFont="1" applyFill="1" applyBorder="1" applyAlignment="1">
      <alignment horizontal="left"/>
    </xf>
    <xf numFmtId="165" fontId="3" fillId="6" borderId="0" xfId="0" applyNumberFormat="1" applyFont="1" applyFill="1" applyAlignment="1">
      <alignment horizontal="right"/>
    </xf>
    <xf numFmtId="0" fontId="5" fillId="3" borderId="10" xfId="1" applyNumberFormat="1" applyFont="1" applyFill="1" applyBorder="1" applyAlignment="1">
      <alignment vertical="center" wrapText="1"/>
    </xf>
    <xf numFmtId="0" fontId="5" fillId="3" borderId="9" xfId="1" applyNumberFormat="1" applyFont="1" applyFill="1" applyBorder="1" applyAlignment="1">
      <alignment vertical="center" wrapText="1"/>
    </xf>
    <xf numFmtId="0" fontId="28" fillId="0" borderId="0" xfId="0" applyFont="1"/>
    <xf numFmtId="0" fontId="29" fillId="0" borderId="2" xfId="0" applyFont="1" applyBorder="1"/>
    <xf numFmtId="0" fontId="3" fillId="2" borderId="5" xfId="0" applyFont="1" applyFill="1" applyBorder="1" applyAlignment="1">
      <alignment horizontal="center"/>
    </xf>
    <xf numFmtId="0" fontId="1" fillId="0" borderId="0" xfId="0" applyFont="1" applyFill="1"/>
    <xf numFmtId="0" fontId="1" fillId="0" borderId="0" xfId="0" applyFont="1" applyFill="1" applyBorder="1"/>
    <xf numFmtId="9" fontId="5" fillId="3" borderId="6" xfId="1" applyNumberFormat="1" applyFont="1" applyFill="1" applyBorder="1" applyAlignment="1">
      <alignment horizontal="right"/>
    </xf>
    <xf numFmtId="0" fontId="5" fillId="3" borderId="12" xfId="1" applyNumberFormat="1" applyFont="1" applyFill="1" applyBorder="1" applyAlignment="1">
      <alignment vertical="center" wrapText="1"/>
    </xf>
    <xf numFmtId="3" fontId="15" fillId="0" borderId="0" xfId="0" applyNumberFormat="1" applyFont="1"/>
    <xf numFmtId="0" fontId="5" fillId="3" borderId="11" xfId="1" applyNumberFormat="1" applyFont="1" applyFill="1" applyBorder="1" applyAlignment="1">
      <alignment horizontal="left" vertical="center"/>
    </xf>
    <xf numFmtId="0" fontId="13" fillId="0" borderId="2" xfId="0" applyFont="1" applyBorder="1"/>
    <xf numFmtId="3" fontId="13" fillId="0" borderId="4" xfId="0" applyNumberFormat="1" applyFont="1" applyBorder="1"/>
    <xf numFmtId="0" fontId="27" fillId="5" borderId="0" xfId="0" applyFont="1" applyFill="1" applyAlignment="1">
      <alignment horizontal="center" vertical="center"/>
    </xf>
    <xf numFmtId="0" fontId="24" fillId="5" borderId="2" xfId="0" applyFont="1" applyFill="1" applyBorder="1" applyAlignment="1">
      <alignment horizontal="center"/>
    </xf>
    <xf numFmtId="0" fontId="3" fillId="2" borderId="5" xfId="0" applyFont="1" applyFill="1" applyBorder="1" applyAlignment="1">
      <alignment horizontal="center"/>
    </xf>
    <xf numFmtId="0" fontId="3" fillId="2" borderId="6" xfId="0" applyFont="1" applyFill="1" applyBorder="1" applyAlignment="1">
      <alignment horizontal="center"/>
    </xf>
    <xf numFmtId="0" fontId="24" fillId="5" borderId="0" xfId="0" applyFont="1" applyFill="1" applyAlignment="1">
      <alignment horizontal="center" vertical="center"/>
    </xf>
    <xf numFmtId="0" fontId="21" fillId="3" borderId="11" xfId="1" applyNumberFormat="1" applyFont="1" applyFill="1" applyBorder="1" applyAlignment="1">
      <alignment horizontal="center" vertical="center" wrapText="1"/>
    </xf>
    <xf numFmtId="0" fontId="21" fillId="3" borderId="12" xfId="1" applyNumberFormat="1" applyFont="1" applyFill="1" applyBorder="1" applyAlignment="1">
      <alignment horizontal="center" vertical="center" wrapText="1"/>
    </xf>
    <xf numFmtId="0" fontId="21" fillId="3" borderId="10" xfId="1" applyNumberFormat="1" applyFont="1" applyFill="1" applyBorder="1" applyAlignment="1">
      <alignment horizontal="center" vertical="center" wrapText="1"/>
    </xf>
    <xf numFmtId="0" fontId="21" fillId="3" borderId="9" xfId="1" applyNumberFormat="1" applyFont="1" applyFill="1" applyBorder="1" applyAlignment="1">
      <alignment horizontal="center" vertical="center" wrapText="1"/>
    </xf>
    <xf numFmtId="0" fontId="23" fillId="5" borderId="0" xfId="0" applyFont="1" applyFill="1" applyAlignment="1">
      <alignment horizontal="center" vertical="center"/>
    </xf>
    <xf numFmtId="0" fontId="24" fillId="5" borderId="2" xfId="0" applyFont="1" applyFill="1" applyBorder="1" applyAlignment="1">
      <alignment horizontal="center" vertical="center"/>
    </xf>
    <xf numFmtId="0" fontId="26" fillId="6" borderId="5" xfId="0" applyFont="1" applyFill="1" applyBorder="1" applyAlignment="1">
      <alignment horizontal="center"/>
    </xf>
    <xf numFmtId="0" fontId="26" fillId="6" borderId="4" xfId="0" applyFont="1" applyFill="1" applyBorder="1" applyAlignment="1">
      <alignment horizontal="center"/>
    </xf>
    <xf numFmtId="9" fontId="26" fillId="6" borderId="4" xfId="0" applyNumberFormat="1" applyFont="1" applyFill="1" applyBorder="1" applyAlignment="1">
      <alignment horizontal="right"/>
    </xf>
    <xf numFmtId="0" fontId="3" fillId="0" borderId="0" xfId="0" applyFont="1" applyAlignment="1">
      <alignment horizontal="center"/>
    </xf>
  </cellXfs>
  <cellStyles count="4">
    <cellStyle name="Followed Hyperlink" xfId="3" builtinId="9" hidden="1"/>
    <cellStyle name="Hyperlink" xfId="2" builtinId="8" hidden="1"/>
    <cellStyle name="Normal" xfId="0" builtinId="0"/>
    <cellStyle name="Percent"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4.xml"/><Relationship Id="rId13" Type="http://schemas.openxmlformats.org/officeDocument/2006/relationships/worksheet" Target="worksheets/sheet6.xml"/><Relationship Id="rId18" Type="http://schemas.openxmlformats.org/officeDocument/2006/relationships/worksheet" Target="worksheets/sheet11.xml"/><Relationship Id="rId26"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14.xml"/><Relationship Id="rId7" Type="http://schemas.openxmlformats.org/officeDocument/2006/relationships/chartsheet" Target="chartsheets/sheet3.xml"/><Relationship Id="rId12" Type="http://schemas.openxmlformats.org/officeDocument/2006/relationships/worksheet" Target="worksheets/sheet5.xml"/><Relationship Id="rId17" Type="http://schemas.openxmlformats.org/officeDocument/2006/relationships/worksheet" Target="worksheets/sheet10.xml"/><Relationship Id="rId25" Type="http://schemas.openxmlformats.org/officeDocument/2006/relationships/chartsheet" Target="chartsheets/sheet8.xml"/><Relationship Id="rId2" Type="http://schemas.openxmlformats.org/officeDocument/2006/relationships/worksheet" Target="worksheets/sheet2.xml"/><Relationship Id="rId16" Type="http://schemas.openxmlformats.org/officeDocument/2006/relationships/worksheet" Target="worksheets/sheet9.xml"/><Relationship Id="rId20" Type="http://schemas.openxmlformats.org/officeDocument/2006/relationships/worksheet" Target="worksheets/sheet13.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2.xml"/><Relationship Id="rId11" Type="http://schemas.openxmlformats.org/officeDocument/2006/relationships/chartsheet" Target="chartsheets/sheet7.xml"/><Relationship Id="rId24" Type="http://schemas.openxmlformats.org/officeDocument/2006/relationships/worksheet" Target="worksheets/sheet17.xml"/><Relationship Id="rId5" Type="http://schemas.openxmlformats.org/officeDocument/2006/relationships/chartsheet" Target="chartsheets/sheet1.xml"/><Relationship Id="rId15" Type="http://schemas.openxmlformats.org/officeDocument/2006/relationships/worksheet" Target="worksheets/sheet8.xml"/><Relationship Id="rId23" Type="http://schemas.openxmlformats.org/officeDocument/2006/relationships/worksheet" Target="worksheets/sheet16.xml"/><Relationship Id="rId28" Type="http://schemas.openxmlformats.org/officeDocument/2006/relationships/theme" Target="theme/theme1.xml"/><Relationship Id="rId10" Type="http://schemas.openxmlformats.org/officeDocument/2006/relationships/chartsheet" Target="chartsheets/sheet6.xml"/><Relationship Id="rId19" Type="http://schemas.openxmlformats.org/officeDocument/2006/relationships/worksheet" Target="worksheets/sheet12.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chartsheet" Target="chartsheets/sheet5.xml"/><Relationship Id="rId14" Type="http://schemas.openxmlformats.org/officeDocument/2006/relationships/worksheet" Target="worksheets/sheet7.xml"/><Relationship Id="rId22" Type="http://schemas.openxmlformats.org/officeDocument/2006/relationships/worksheet" Target="worksheets/sheet15.xml"/><Relationship Id="rId27" Type="http://schemas.openxmlformats.org/officeDocument/2006/relationships/externalLink" Target="externalLinks/externalLink1.xml"/><Relationship Id="rId30"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rot="0" spcFirstLastPara="1" vertOverflow="ellipsis" vert="horz" wrap="square" anchor="ctr" anchorCtr="1"/>
          <a:lstStyle/>
          <a:p>
            <a:pPr>
              <a:defRPr sz="1800" b="1" i="0" u="none" strike="noStrike" kern="1200" baseline="0">
                <a:solidFill>
                  <a:schemeClr val="dk1">
                    <a:lumMod val="75000"/>
                    <a:lumOff val="25000"/>
                  </a:schemeClr>
                </a:solidFill>
                <a:latin typeface="+mn-lt"/>
                <a:ea typeface="+mn-ea"/>
                <a:cs typeface="+mn-cs"/>
              </a:defRPr>
            </a:pPr>
            <a:r>
              <a:rPr lang="en-US"/>
              <a:t>Initial Loan Share</a:t>
            </a:r>
          </a:p>
        </c:rich>
      </c:tx>
      <c:layout>
        <c:manualLayout>
          <c:xMode val="edge"/>
          <c:yMode val="edge"/>
          <c:x val="0.37069922308546099"/>
          <c:y val="1.9575856443719401E-2"/>
        </c:manualLayout>
      </c:layout>
      <c:overlay val="0"/>
      <c:spPr>
        <a:noFill/>
        <a:ln>
          <a:noFill/>
        </a:ln>
        <a:effectLst/>
      </c:spPr>
      <c:txPr>
        <a:bodyPr rot="0" spcFirstLastPara="1" vertOverflow="ellipsis" vert="horz" wrap="square" anchor="ctr" anchorCtr="1"/>
        <a:lstStyle/>
        <a:p>
          <a:pPr>
            <a:defRPr sz="18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manualLayout>
          <c:layoutTarget val="inner"/>
          <c:xMode val="edge"/>
          <c:yMode val="edge"/>
          <c:x val="0.205327413984462"/>
          <c:y val="0.11745513866231599"/>
          <c:w val="0.57713651498335095"/>
          <c:h val="0.84828711256117495"/>
        </c:manualLayout>
      </c:layout>
      <c:pieChart>
        <c:varyColors val="1"/>
        <c:ser>
          <c:idx val="0"/>
          <c:order val="0"/>
          <c:dPt>
            <c:idx val="0"/>
            <c:bubble3D val="0"/>
            <c:spPr>
              <a:solidFill>
                <a:schemeClr val="accent1">
                  <a:tint val="50000"/>
                </a:schemeClr>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1-74FF-477D-AD0C-35C4BAD66922}"/>
              </c:ext>
            </c:extLst>
          </c:dPt>
          <c:dPt>
            <c:idx val="1"/>
            <c:bubble3D val="0"/>
            <c:spPr>
              <a:solidFill>
                <a:schemeClr val="accent1">
                  <a:tint val="70000"/>
                </a:schemeClr>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3-74FF-477D-AD0C-35C4BAD66922}"/>
              </c:ext>
            </c:extLst>
          </c:dPt>
          <c:dPt>
            <c:idx val="2"/>
            <c:bubble3D val="0"/>
            <c:spPr>
              <a:solidFill>
                <a:schemeClr val="accent1">
                  <a:tint val="90000"/>
                </a:schemeClr>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5-74FF-477D-AD0C-35C4BAD66922}"/>
              </c:ext>
            </c:extLst>
          </c:dPt>
          <c:dPt>
            <c:idx val="3"/>
            <c:bubble3D val="0"/>
            <c:spPr>
              <a:solidFill>
                <a:schemeClr val="accent1">
                  <a:shade val="90000"/>
                </a:schemeClr>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7-74FF-477D-AD0C-35C4BAD66922}"/>
              </c:ext>
            </c:extLst>
          </c:dPt>
          <c:dPt>
            <c:idx val="4"/>
            <c:bubble3D val="0"/>
            <c:spPr>
              <a:solidFill>
                <a:schemeClr val="accent1">
                  <a:shade val="70000"/>
                </a:schemeClr>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9-74FF-477D-AD0C-35C4BAD66922}"/>
              </c:ext>
            </c:extLst>
          </c:dPt>
          <c:dPt>
            <c:idx val="5"/>
            <c:bubble3D val="0"/>
            <c:spPr>
              <a:solidFill>
                <a:schemeClr val="accent1">
                  <a:shade val="50000"/>
                </a:schemeClr>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B-74FF-477D-AD0C-35C4BAD66922}"/>
              </c:ext>
            </c:extLst>
          </c:dPt>
          <c:dLbls>
            <c:numFmt formatCode="0%" sourceLinked="0"/>
            <c:spPr>
              <a:pattFill prst="pct75">
                <a:fgClr>
                  <a:schemeClr val="dk1">
                    <a:lumMod val="75000"/>
                    <a:lumOff val="25000"/>
                  </a:schemeClr>
                </a:fgClr>
                <a:bgClr>
                  <a:schemeClr val="dk1">
                    <a:lumMod val="65000"/>
                    <a:lumOff val="35000"/>
                  </a:schemeClr>
                </a:bgClr>
              </a:pattFill>
              <a:ln>
                <a:noFill/>
              </a:ln>
              <a:effectLst>
                <a:outerShdw blurRad="50800" dist="381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lt1"/>
                    </a:solidFill>
                    <a:latin typeface="+mn-lt"/>
                    <a:ea typeface="+mn-ea"/>
                    <a:cs typeface="+mn-cs"/>
                  </a:defRPr>
                </a:pPr>
                <a:endParaRPr lang="en-US"/>
              </a:p>
            </c:txPr>
            <c:dLblPos val="ctr"/>
            <c:showLegendKey val="0"/>
            <c:showVal val="0"/>
            <c:showCatName val="1"/>
            <c:showSerName val="0"/>
            <c:showPercent val="1"/>
            <c:showBubbleSize val="0"/>
            <c:showLeaderLines val="1"/>
            <c:leaderLines>
              <c:spPr>
                <a:ln w="9525">
                  <a:solidFill>
                    <a:schemeClr val="dk1">
                      <a:lumMod val="50000"/>
                      <a:lumOff val="50000"/>
                    </a:schemeClr>
                  </a:solidFill>
                </a:ln>
                <a:effectLst/>
              </c:spPr>
            </c:leaderLines>
            <c:extLst>
              <c:ext xmlns:c15="http://schemas.microsoft.com/office/drawing/2012/chart" uri="{CE6537A1-D6FC-4f65-9D91-7224C49458BB}"/>
            </c:extLst>
          </c:dLbls>
          <c:cat>
            <c:strRef>
              <c:f>(Results!$A$55,Results!$A$62:$A$66)</c:f>
              <c:strCache>
                <c:ptCount val="6"/>
                <c:pt idx="0">
                  <c:v>Commercial Real Estate</c:v>
                </c:pt>
                <c:pt idx="1">
                  <c:v>Residential Mortgages</c:v>
                </c:pt>
                <c:pt idx="2">
                  <c:v>Consumer</c:v>
                </c:pt>
                <c:pt idx="3">
                  <c:v>Commercial &amp; Industrial</c:v>
                </c:pt>
                <c:pt idx="4">
                  <c:v>Agriculture</c:v>
                </c:pt>
                <c:pt idx="5">
                  <c:v>Other Loans</c:v>
                </c:pt>
              </c:strCache>
            </c:strRef>
          </c:cat>
          <c:val>
            <c:numRef>
              <c:f>(Results!$B$55,Results!$B$62:$B$66)</c:f>
              <c:numCache>
                <c:formatCode>#,##0</c:formatCode>
                <c:ptCount val="6"/>
                <c:pt idx="0">
                  <c:v>424039.01</c:v>
                </c:pt>
                <c:pt idx="1">
                  <c:v>198888</c:v>
                </c:pt>
                <c:pt idx="2">
                  <c:v>233220</c:v>
                </c:pt>
                <c:pt idx="3">
                  <c:v>70071</c:v>
                </c:pt>
                <c:pt idx="4">
                  <c:v>0.01</c:v>
                </c:pt>
                <c:pt idx="5">
                  <c:v>7453</c:v>
                </c:pt>
              </c:numCache>
            </c:numRef>
          </c:val>
          <c:extLst>
            <c:ext xmlns:c16="http://schemas.microsoft.com/office/drawing/2014/chart" uri="{C3380CC4-5D6E-409C-BE32-E72D297353CC}">
              <c16:uniqueId val="{0000000C-74FF-477D-AD0C-35C4BAD66922}"/>
            </c:ext>
          </c:extLst>
        </c:ser>
        <c:dLbls>
          <c:dLblPos val="ctr"/>
          <c:showLegendKey val="0"/>
          <c:showVal val="0"/>
          <c:showCatName val="0"/>
          <c:showSerName val="0"/>
          <c:showPercent val="1"/>
          <c:showBubbleSize val="0"/>
          <c:showLeaderLines val="1"/>
        </c:dLbls>
        <c:firstSliceAng val="0"/>
      </c:pieChart>
      <c:spPr>
        <a:noFill/>
        <a:ln>
          <a:noFill/>
        </a:ln>
        <a:effectLst/>
      </c:spPr>
    </c:plotArea>
    <c:legend>
      <c:legendPos val="r"/>
      <c:overlay val="0"/>
      <c:spPr>
        <a:solidFill>
          <a:schemeClr val="lt1">
            <a:lumMod val="95000"/>
            <a:alpha val="39000"/>
          </a:schemeClr>
        </a:solidFill>
        <a:ln>
          <a:noFill/>
        </a:ln>
        <a:effectLst/>
      </c:spPr>
      <c:txPr>
        <a:bodyPr rot="0" spcFirstLastPara="1" vertOverflow="ellipsis" vert="horz" wrap="square" anchor="ctr" anchorCtr="1"/>
        <a:lstStyle/>
        <a:p>
          <a:pPr>
            <a:defRPr sz="900" b="0" i="0" u="none" strike="noStrike" kern="1200" baseline="0">
              <a:solidFill>
                <a:schemeClr val="dk1">
                  <a:lumMod val="75000"/>
                  <a:lumOff val="25000"/>
                </a:schemeClr>
              </a:solidFill>
              <a:latin typeface="+mn-lt"/>
              <a:ea typeface="+mn-ea"/>
              <a:cs typeface="+mn-cs"/>
            </a:defRPr>
          </a:pPr>
          <a:endParaRPr lang="en-US"/>
        </a:p>
      </c:txPr>
    </c:legend>
    <c:plotVisOnly val="1"/>
    <c:dispBlanksAs val="zero"/>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1"/>
      <c:spPr>
        <a:noFill/>
        <a:ln>
          <a:noFill/>
        </a:ln>
        <a:effectLst/>
      </c:spPr>
      <c:txPr>
        <a:bodyPr rot="0" spcFirstLastPara="1" vertOverflow="ellipsis" vert="horz" wrap="square" anchor="ctr" anchorCtr="1"/>
        <a:lstStyle/>
        <a:p>
          <a:pPr>
            <a:defRPr b="0" i="0" u="none" strike="noStrike" kern="1200" baseline="0">
              <a:solidFill>
                <a:schemeClr val="dk1">
                  <a:lumMod val="65000"/>
                  <a:lumOff val="35000"/>
                </a:schemeClr>
              </a:solidFill>
              <a:effectLst/>
              <a:latin typeface="+mn-lt"/>
              <a:ea typeface="+mn-ea"/>
              <a:cs typeface="+mn-cs"/>
            </a:defRPr>
          </a:pPr>
          <a:endParaRPr lang="en-US"/>
        </a:p>
      </c:txPr>
    </c:title>
    <c:autoTitleDeleted val="0"/>
    <c:plotArea>
      <c:layout>
        <c:manualLayout>
          <c:layoutTarget val="inner"/>
          <c:xMode val="edge"/>
          <c:yMode val="edge"/>
          <c:x val="6.9597401034106637E-2"/>
          <c:y val="8.2508553643861823E-2"/>
          <c:w val="0.91427966674349204"/>
          <c:h val="0.82102434457047957"/>
        </c:manualLayout>
      </c:layout>
      <c:barChart>
        <c:barDir val="col"/>
        <c:grouping val="clustered"/>
        <c:varyColors val="0"/>
        <c:ser>
          <c:idx val="0"/>
          <c:order val="0"/>
          <c:tx>
            <c:strRef>
              <c:f>Results!$A$50</c:f>
              <c:strCache>
                <c:ptCount val="1"/>
                <c:pt idx="0">
                  <c:v>ROA (annualized)</c:v>
                </c:pt>
              </c:strCache>
            </c:strRef>
          </c:tx>
          <c:spPr>
            <a:gradFill>
              <a:gsLst>
                <a:gs pos="0">
                  <a:schemeClr val="accent1"/>
                </a:gs>
                <a:gs pos="100000">
                  <a:schemeClr val="accent1">
                    <a:lumMod val="84000"/>
                  </a:schemeClr>
                </a:gs>
              </a:gsLst>
              <a:lin ang="5400000" scaled="1"/>
            </a:gradFill>
            <a:ln>
              <a:noFill/>
            </a:ln>
            <a:effectLst>
              <a:outerShdw blurRad="76200" dir="18900000" sy="23000" kx="-1200000" algn="bl" rotWithShape="0">
                <a:prstClr val="black">
                  <a:alpha val="20000"/>
                </a:prstClr>
              </a:outerShdw>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Results!$B$49:$G$49</c:f>
              <c:strCache>
                <c:ptCount val="6"/>
                <c:pt idx="0">
                  <c:v>Y0</c:v>
                </c:pt>
                <c:pt idx="1">
                  <c:v>Y1</c:v>
                </c:pt>
                <c:pt idx="2">
                  <c:v>Y2</c:v>
                </c:pt>
                <c:pt idx="3">
                  <c:v>Y3</c:v>
                </c:pt>
                <c:pt idx="4">
                  <c:v>Y4</c:v>
                </c:pt>
                <c:pt idx="5">
                  <c:v>Y5</c:v>
                </c:pt>
              </c:strCache>
            </c:strRef>
          </c:cat>
          <c:val>
            <c:numRef>
              <c:f>Results!$B$50:$G$50</c:f>
              <c:numCache>
                <c:formatCode>0.00%</c:formatCode>
                <c:ptCount val="6"/>
                <c:pt idx="0">
                  <c:v>6.7502815639104794E-3</c:v>
                </c:pt>
                <c:pt idx="1">
                  <c:v>2.1493909175196164E-3</c:v>
                </c:pt>
                <c:pt idx="2">
                  <c:v>-2.1224728316171422E-3</c:v>
                </c:pt>
                <c:pt idx="3">
                  <c:v>-2.788326307812334E-3</c:v>
                </c:pt>
                <c:pt idx="4">
                  <c:v>-1.428697403736502E-3</c:v>
                </c:pt>
                <c:pt idx="5">
                  <c:v>1.0939519485689418E-4</c:v>
                </c:pt>
              </c:numCache>
            </c:numRef>
          </c:val>
          <c:extLst>
            <c:ext xmlns:c16="http://schemas.microsoft.com/office/drawing/2014/chart" uri="{C3380CC4-5D6E-409C-BE32-E72D297353CC}">
              <c16:uniqueId val="{00000000-81E2-45F9-ABC1-302BA8C02878}"/>
            </c:ext>
          </c:extLst>
        </c:ser>
        <c:dLbls>
          <c:dLblPos val="inEnd"/>
          <c:showLegendKey val="0"/>
          <c:showVal val="1"/>
          <c:showCatName val="0"/>
          <c:showSerName val="0"/>
          <c:showPercent val="0"/>
          <c:showBubbleSize val="0"/>
        </c:dLbls>
        <c:gapWidth val="41"/>
        <c:axId val="342801480"/>
        <c:axId val="474955312"/>
      </c:barChart>
      <c:catAx>
        <c:axId val="342801480"/>
        <c:scaling>
          <c:orientation val="minMax"/>
        </c:scaling>
        <c:delete val="0"/>
        <c:axPos val="b"/>
        <c:numFmt formatCode="General" sourceLinked="1"/>
        <c:majorTickMark val="none"/>
        <c:minorTickMark val="none"/>
        <c:tickLblPos val="low"/>
        <c:spPr>
          <a:noFill/>
          <a:ln>
            <a:noFill/>
          </a:ln>
          <a:effectLst/>
        </c:spPr>
        <c:txPr>
          <a:bodyPr rot="-60000000" spcFirstLastPara="1" vertOverflow="ellipsis" vert="horz" wrap="square" anchor="ctr" anchorCtr="1"/>
          <a:lstStyle/>
          <a:p>
            <a:pPr>
              <a:defRPr sz="900" b="0" i="0" u="none" strike="noStrike" kern="1200" baseline="0">
                <a:solidFill>
                  <a:schemeClr val="dk1">
                    <a:lumMod val="65000"/>
                    <a:lumOff val="35000"/>
                  </a:schemeClr>
                </a:solidFill>
                <a:effectLst/>
                <a:latin typeface="+mn-lt"/>
                <a:ea typeface="+mn-ea"/>
                <a:cs typeface="+mn-cs"/>
              </a:defRPr>
            </a:pPr>
            <a:endParaRPr lang="en-US"/>
          </a:p>
        </c:txPr>
        <c:crossAx val="474955312"/>
        <c:crosses val="autoZero"/>
        <c:auto val="1"/>
        <c:lblAlgn val="ctr"/>
        <c:lblOffset val="100"/>
        <c:noMultiLvlLbl val="0"/>
      </c:catAx>
      <c:valAx>
        <c:axId val="474955312"/>
        <c:scaling>
          <c:orientation val="minMax"/>
        </c:scaling>
        <c:delete val="1"/>
        <c:axPos val="l"/>
        <c:numFmt formatCode="0.00%" sourceLinked="1"/>
        <c:majorTickMark val="none"/>
        <c:minorTickMark val="none"/>
        <c:tickLblPos val="nextTo"/>
        <c:crossAx val="342801480"/>
        <c:crosses val="autoZero"/>
        <c:crossBetween val="between"/>
      </c:valAx>
      <c:spPr>
        <a:noFill/>
        <a:ln>
          <a:noFill/>
        </a:ln>
        <a:effectLst/>
      </c:spPr>
    </c:plotArea>
    <c:plotVisOnly val="1"/>
    <c:dispBlanksAs val="gap"/>
    <c:showDLblsOverMax val="0"/>
  </c:chart>
  <c:spPr>
    <a:gradFill flip="none" rotWithShape="1">
      <a:gsLst>
        <a:gs pos="0">
          <a:schemeClr val="lt1"/>
        </a:gs>
        <a:gs pos="68000">
          <a:schemeClr val="lt1">
            <a:lumMod val="85000"/>
          </a:schemeClr>
        </a:gs>
        <a:gs pos="100000">
          <a:schemeClr val="lt1"/>
        </a:gs>
      </a:gsLst>
      <a:lin ang="5400000" scaled="1"/>
      <a:tileRect/>
    </a:gradFill>
    <a:ln w="9525" cap="flat" cmpd="sng" algn="ctr">
      <a:solidFill>
        <a:schemeClr val="dk1">
          <a:lumMod val="15000"/>
          <a:lumOff val="85000"/>
        </a:schemeClr>
      </a:solidFill>
      <a:round/>
    </a:ln>
    <a:effectLst/>
  </c:spPr>
  <c:txPr>
    <a:bodyPr/>
    <a:lstStyle/>
    <a:p>
      <a:pPr>
        <a:defRPr/>
      </a:pPr>
      <a:endParaRPr lang="en-US"/>
    </a:p>
  </c:txPr>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6"/>
    </mc:Choice>
    <mc:Fallback>
      <c:style val="6"/>
    </mc:Fallback>
  </mc:AlternateContent>
  <c:chart>
    <c:title>
      <c:overlay val="1"/>
      <c:spPr>
        <a:noFill/>
        <a:ln>
          <a:noFill/>
        </a:ln>
        <a:effectLst/>
      </c:spPr>
      <c:txPr>
        <a:bodyPr rot="0" spcFirstLastPara="1" vertOverflow="ellipsis" vert="horz" wrap="square" anchor="ctr" anchorCtr="1"/>
        <a:lstStyle/>
        <a:p>
          <a:pPr>
            <a:defRPr b="0" i="0" u="none" strike="noStrike" kern="1200" baseline="0">
              <a:solidFill>
                <a:schemeClr val="dk1">
                  <a:lumMod val="65000"/>
                  <a:lumOff val="35000"/>
                </a:schemeClr>
              </a:solidFill>
              <a:effectLst/>
              <a:latin typeface="+mn-lt"/>
              <a:ea typeface="+mn-ea"/>
              <a:cs typeface="+mn-cs"/>
            </a:defRPr>
          </a:pPr>
          <a:endParaRPr lang="en-US"/>
        </a:p>
      </c:txPr>
    </c:title>
    <c:autoTitleDeleted val="0"/>
    <c:plotArea>
      <c:layout>
        <c:manualLayout>
          <c:layoutTarget val="inner"/>
          <c:xMode val="edge"/>
          <c:yMode val="edge"/>
          <c:x val="0.108768035516093"/>
          <c:y val="0.14681892332789601"/>
          <c:w val="0.88013318534961005"/>
          <c:h val="0.75530179445350898"/>
        </c:manualLayout>
      </c:layout>
      <c:barChart>
        <c:barDir val="col"/>
        <c:grouping val="clustered"/>
        <c:varyColors val="0"/>
        <c:ser>
          <c:idx val="0"/>
          <c:order val="0"/>
          <c:tx>
            <c:strRef>
              <c:f>Results!$A$51</c:f>
              <c:strCache>
                <c:ptCount val="1"/>
                <c:pt idx="0">
                  <c:v>ROE (annualized)</c:v>
                </c:pt>
              </c:strCache>
            </c:strRef>
          </c:tx>
          <c:spPr>
            <a:gradFill>
              <a:gsLst>
                <a:gs pos="0">
                  <a:schemeClr val="accent4"/>
                </a:gs>
                <a:gs pos="100000">
                  <a:schemeClr val="accent4">
                    <a:lumMod val="84000"/>
                  </a:schemeClr>
                </a:gs>
              </a:gsLst>
              <a:lin ang="5400000" scaled="1"/>
            </a:gradFill>
            <a:ln>
              <a:noFill/>
            </a:ln>
            <a:effectLst>
              <a:outerShdw blurRad="76200" dir="18900000" sy="23000" kx="-1200000" algn="bl" rotWithShape="0">
                <a:prstClr val="black">
                  <a:alpha val="20000"/>
                </a:prstClr>
              </a:outerShdw>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Results!$B$4:$G$4</c:f>
              <c:strCache>
                <c:ptCount val="6"/>
                <c:pt idx="0">
                  <c:v>Y0</c:v>
                </c:pt>
                <c:pt idx="1">
                  <c:v>Y1</c:v>
                </c:pt>
                <c:pt idx="2">
                  <c:v>Y2</c:v>
                </c:pt>
                <c:pt idx="3">
                  <c:v>Y3</c:v>
                </c:pt>
                <c:pt idx="4">
                  <c:v>Y4</c:v>
                </c:pt>
                <c:pt idx="5">
                  <c:v>Y5</c:v>
                </c:pt>
              </c:strCache>
            </c:strRef>
          </c:cat>
          <c:val>
            <c:numRef>
              <c:f>Results!$B$51:$G$51</c:f>
              <c:numCache>
                <c:formatCode>0.00%</c:formatCode>
                <c:ptCount val="6"/>
                <c:pt idx="0">
                  <c:v>6.4666321170420094E-2</c:v>
                </c:pt>
                <c:pt idx="1">
                  <c:v>2.0857435370170655E-2</c:v>
                </c:pt>
                <c:pt idx="2">
                  <c:v>-2.1324427967741783E-2</c:v>
                </c:pt>
                <c:pt idx="3">
                  <c:v>-2.9197282772078254E-2</c:v>
                </c:pt>
                <c:pt idx="4">
                  <c:v>-1.5416844005496337E-2</c:v>
                </c:pt>
                <c:pt idx="5">
                  <c:v>1.2004373176426146E-3</c:v>
                </c:pt>
              </c:numCache>
            </c:numRef>
          </c:val>
          <c:extLst>
            <c:ext xmlns:c16="http://schemas.microsoft.com/office/drawing/2014/chart" uri="{C3380CC4-5D6E-409C-BE32-E72D297353CC}">
              <c16:uniqueId val="{00000000-8103-4D74-BA74-3F9D11A05820}"/>
            </c:ext>
          </c:extLst>
        </c:ser>
        <c:dLbls>
          <c:dLblPos val="inEnd"/>
          <c:showLegendKey val="0"/>
          <c:showVal val="1"/>
          <c:showCatName val="0"/>
          <c:showSerName val="0"/>
          <c:showPercent val="0"/>
          <c:showBubbleSize val="0"/>
        </c:dLbls>
        <c:gapWidth val="41"/>
        <c:axId val="344875912"/>
        <c:axId val="475021784"/>
      </c:barChart>
      <c:catAx>
        <c:axId val="344875912"/>
        <c:scaling>
          <c:orientation val="minMax"/>
        </c:scaling>
        <c:delete val="0"/>
        <c:axPos val="b"/>
        <c:numFmt formatCode="General" sourceLinked="1"/>
        <c:majorTickMark val="none"/>
        <c:minorTickMark val="none"/>
        <c:tickLblPos val="low"/>
        <c:spPr>
          <a:noFill/>
          <a:ln>
            <a:noFill/>
          </a:ln>
          <a:effectLst/>
        </c:spPr>
        <c:txPr>
          <a:bodyPr rot="0" spcFirstLastPara="1" vertOverflow="ellipsis" wrap="square" anchor="ctr" anchorCtr="1"/>
          <a:lstStyle/>
          <a:p>
            <a:pPr>
              <a:defRPr sz="900" b="0" i="0" u="none" strike="noStrike" kern="1200" baseline="0">
                <a:solidFill>
                  <a:schemeClr val="dk1">
                    <a:lumMod val="65000"/>
                    <a:lumOff val="35000"/>
                  </a:schemeClr>
                </a:solidFill>
                <a:effectLst/>
                <a:latin typeface="+mn-lt"/>
                <a:ea typeface="+mn-ea"/>
                <a:cs typeface="+mn-cs"/>
              </a:defRPr>
            </a:pPr>
            <a:endParaRPr lang="en-US"/>
          </a:p>
        </c:txPr>
        <c:crossAx val="475021784"/>
        <c:crosses val="autoZero"/>
        <c:auto val="1"/>
        <c:lblAlgn val="ctr"/>
        <c:lblOffset val="100"/>
        <c:noMultiLvlLbl val="0"/>
      </c:catAx>
      <c:valAx>
        <c:axId val="475021784"/>
        <c:scaling>
          <c:orientation val="minMax"/>
        </c:scaling>
        <c:delete val="1"/>
        <c:axPos val="l"/>
        <c:numFmt formatCode="0.0%" sourceLinked="0"/>
        <c:majorTickMark val="none"/>
        <c:minorTickMark val="none"/>
        <c:tickLblPos val="nextTo"/>
        <c:crossAx val="344875912"/>
        <c:crosses val="autoZero"/>
        <c:crossBetween val="between"/>
      </c:valAx>
      <c:spPr>
        <a:noFill/>
        <a:ln>
          <a:noFill/>
        </a:ln>
        <a:effectLst/>
      </c:spPr>
    </c:plotArea>
    <c:plotVisOnly val="1"/>
    <c:dispBlanksAs val="gap"/>
    <c:showDLblsOverMax val="0"/>
  </c:chart>
  <c:spPr>
    <a:gradFill flip="none" rotWithShape="1">
      <a:gsLst>
        <a:gs pos="0">
          <a:schemeClr val="lt1"/>
        </a:gs>
        <a:gs pos="68000">
          <a:schemeClr val="lt1">
            <a:lumMod val="85000"/>
          </a:schemeClr>
        </a:gs>
        <a:gs pos="100000">
          <a:schemeClr val="lt1"/>
        </a:gs>
      </a:gsLst>
      <a:lin ang="5400000" scaled="1"/>
      <a:tileRect/>
    </a:gradFill>
    <a:ln w="9525" cap="flat" cmpd="sng" algn="ctr">
      <a:solidFill>
        <a:schemeClr val="dk1">
          <a:lumMod val="15000"/>
          <a:lumOff val="85000"/>
        </a:schemeClr>
      </a:solidFill>
      <a:round/>
    </a:ln>
    <a:effectLst/>
  </c:spPr>
  <c:txPr>
    <a:bodyPr/>
    <a:lstStyle/>
    <a:p>
      <a:pPr>
        <a:defRPr/>
      </a:pPr>
      <a:endParaRPr lang="en-US"/>
    </a:p>
  </c:txPr>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US"/>
              <a:t>Equity to Assets</a:t>
            </a:r>
          </a:p>
        </c:rich>
      </c:tx>
      <c:layout>
        <c:manualLayout>
          <c:xMode val="edge"/>
          <c:yMode val="edge"/>
          <c:x val="0.41287458379578301"/>
          <c:y val="1.9575856443719401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00998890122086"/>
          <c:y val="0.14681892332789601"/>
          <c:w val="0.88790233074361802"/>
          <c:h val="0.75367047308320001"/>
        </c:manualLayout>
      </c:layout>
      <c:barChart>
        <c:barDir val="col"/>
        <c:grouping val="clustered"/>
        <c:varyColors val="0"/>
        <c:ser>
          <c:idx val="1"/>
          <c:order val="0"/>
          <c:tx>
            <c:strRef>
              <c:f>Results!$A$52</c:f>
              <c:strCache>
                <c:ptCount val="1"/>
                <c:pt idx="0">
                  <c:v>Equity to assets</c:v>
                </c:pt>
              </c:strCache>
            </c:strRef>
          </c:tx>
          <c:spPr>
            <a:solidFill>
              <a:schemeClr val="accent3"/>
            </a:solidFill>
            <a:ln>
              <a:noFill/>
            </a:ln>
            <a:effectLst/>
          </c:spPr>
          <c:invertIfNegative val="0"/>
          <c:cat>
            <c:strRef>
              <c:f>Results!$B$4:$G$4</c:f>
              <c:strCache>
                <c:ptCount val="6"/>
                <c:pt idx="0">
                  <c:v>Y0</c:v>
                </c:pt>
                <c:pt idx="1">
                  <c:v>Y1</c:v>
                </c:pt>
                <c:pt idx="2">
                  <c:v>Y2</c:v>
                </c:pt>
                <c:pt idx="3">
                  <c:v>Y3</c:v>
                </c:pt>
                <c:pt idx="4">
                  <c:v>Y4</c:v>
                </c:pt>
                <c:pt idx="5">
                  <c:v>Y5</c:v>
                </c:pt>
              </c:strCache>
            </c:strRef>
          </c:cat>
          <c:val>
            <c:numRef>
              <c:f>Results!$B$52:$G$52</c:f>
              <c:numCache>
                <c:formatCode>0.00%</c:formatCode>
                <c:ptCount val="6"/>
                <c:pt idx="0">
                  <c:v>0.10438635508769621</c:v>
                </c:pt>
                <c:pt idx="1">
                  <c:v>0.10305154393974901</c:v>
                </c:pt>
                <c:pt idx="2">
                  <c:v>9.9532462714961564E-2</c:v>
                </c:pt>
                <c:pt idx="3">
                  <c:v>9.5499513758823026E-2</c:v>
                </c:pt>
                <c:pt idx="4">
                  <c:v>9.2671198023872442E-2</c:v>
                </c:pt>
                <c:pt idx="5">
                  <c:v>9.1129451949828924E-2</c:v>
                </c:pt>
              </c:numCache>
            </c:numRef>
          </c:val>
          <c:extLst>
            <c:ext xmlns:c16="http://schemas.microsoft.com/office/drawing/2014/chart" uri="{C3380CC4-5D6E-409C-BE32-E72D297353CC}">
              <c16:uniqueId val="{00000000-8680-43A6-B00A-73FD67FA81B2}"/>
            </c:ext>
          </c:extLst>
        </c:ser>
        <c:dLbls>
          <c:showLegendKey val="0"/>
          <c:showVal val="0"/>
          <c:showCatName val="0"/>
          <c:showSerName val="0"/>
          <c:showPercent val="0"/>
          <c:showBubbleSize val="0"/>
        </c:dLbls>
        <c:gapWidth val="150"/>
        <c:axId val="475022568"/>
        <c:axId val="475022960"/>
      </c:barChart>
      <c:catAx>
        <c:axId val="475022568"/>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475022960"/>
        <c:crosses val="autoZero"/>
        <c:auto val="1"/>
        <c:lblAlgn val="ctr"/>
        <c:lblOffset val="100"/>
        <c:noMultiLvlLbl val="0"/>
      </c:catAx>
      <c:valAx>
        <c:axId val="475022960"/>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0"/>
        <c:majorTickMark val="none"/>
        <c:minorTickMark val="none"/>
        <c:tickLblPos val="nextTo"/>
        <c:spPr>
          <a:noFill/>
          <a:ln>
            <a:noFill/>
          </a:ln>
          <a:effectLst/>
        </c:spPr>
        <c:txPr>
          <a:bodyPr rot="0" spcFirstLastPara="1" vertOverflow="ellipsis"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47502256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b="0" i="0" u="none" strike="noStrike" kern="1200" baseline="0">
                <a:solidFill>
                  <a:schemeClr val="dk1">
                    <a:lumMod val="65000"/>
                    <a:lumOff val="35000"/>
                  </a:schemeClr>
                </a:solidFill>
                <a:effectLst/>
                <a:latin typeface="+mn-lt"/>
                <a:ea typeface="+mn-ea"/>
                <a:cs typeface="+mn-cs"/>
              </a:defRPr>
            </a:pPr>
            <a:r>
              <a:rPr lang="en-US"/>
              <a:t>Net Chargeoffs to Total Loans</a:t>
            </a:r>
          </a:p>
        </c:rich>
      </c:tx>
      <c:overlay val="1"/>
      <c:spPr>
        <a:noFill/>
        <a:ln>
          <a:noFill/>
        </a:ln>
        <a:effectLst/>
      </c:spPr>
      <c:txPr>
        <a:bodyPr rot="0" spcFirstLastPara="1" vertOverflow="ellipsis" vert="horz" wrap="square" anchor="ctr" anchorCtr="1"/>
        <a:lstStyle/>
        <a:p>
          <a:pPr>
            <a:defRPr b="0" i="0" u="none" strike="noStrike" kern="1200" baseline="0">
              <a:solidFill>
                <a:schemeClr val="dk1">
                  <a:lumMod val="65000"/>
                  <a:lumOff val="35000"/>
                </a:schemeClr>
              </a:solidFill>
              <a:effectLst/>
              <a:latin typeface="+mn-lt"/>
              <a:ea typeface="+mn-ea"/>
              <a:cs typeface="+mn-cs"/>
            </a:defRPr>
          </a:pPr>
          <a:endParaRPr lang="en-US"/>
        </a:p>
      </c:txPr>
    </c:title>
    <c:autoTitleDeleted val="0"/>
    <c:plotArea>
      <c:layout>
        <c:manualLayout>
          <c:layoutTarget val="inner"/>
          <c:xMode val="edge"/>
          <c:yMode val="edge"/>
          <c:x val="0.114317425083241"/>
          <c:y val="0.115823817292006"/>
          <c:w val="0.85571587125416304"/>
          <c:h val="0.74061990212071804"/>
        </c:manualLayout>
      </c:layout>
      <c:barChart>
        <c:barDir val="col"/>
        <c:grouping val="clustered"/>
        <c:varyColors val="0"/>
        <c:ser>
          <c:idx val="0"/>
          <c:order val="0"/>
          <c:tx>
            <c:v>Total Loans</c:v>
          </c:tx>
          <c:spPr>
            <a:solidFill>
              <a:schemeClr val="accent2"/>
            </a:solidFill>
            <a:ln>
              <a:noFill/>
            </a:ln>
            <a:effectLst>
              <a:outerShdw blurRad="76200" dir="18900000" sy="23000" kx="-1200000" algn="bl" rotWithShape="0">
                <a:prstClr val="black">
                  <a:alpha val="20000"/>
                </a:prstClr>
              </a:outerShdw>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Results!$B$4:$G$4</c:f>
              <c:strCache>
                <c:ptCount val="6"/>
                <c:pt idx="0">
                  <c:v>Y0</c:v>
                </c:pt>
                <c:pt idx="1">
                  <c:v>Y1</c:v>
                </c:pt>
                <c:pt idx="2">
                  <c:v>Y2</c:v>
                </c:pt>
                <c:pt idx="3">
                  <c:v>Y3</c:v>
                </c:pt>
                <c:pt idx="4">
                  <c:v>Y4</c:v>
                </c:pt>
                <c:pt idx="5">
                  <c:v>Y5</c:v>
                </c:pt>
              </c:strCache>
            </c:strRef>
          </c:cat>
          <c:val>
            <c:numRef>
              <c:f>Results!$B$47:$G$47</c:f>
              <c:numCache>
                <c:formatCode>0.00%</c:formatCode>
                <c:ptCount val="6"/>
                <c:pt idx="0">
                  <c:v>3.4294734777138096E-3</c:v>
                </c:pt>
                <c:pt idx="1">
                  <c:v>1.1343563037066613E-2</c:v>
                </c:pt>
                <c:pt idx="2">
                  <c:v>2.0082762854306518E-2</c:v>
                </c:pt>
                <c:pt idx="3">
                  <c:v>2.1526837922253038E-2</c:v>
                </c:pt>
                <c:pt idx="4">
                  <c:v>1.8813117793748394E-2</c:v>
                </c:pt>
                <c:pt idx="5">
                  <c:v>1.5729320404945922E-2</c:v>
                </c:pt>
              </c:numCache>
            </c:numRef>
          </c:val>
          <c:extLst>
            <c:ext xmlns:c16="http://schemas.microsoft.com/office/drawing/2014/chart" uri="{C3380CC4-5D6E-409C-BE32-E72D297353CC}">
              <c16:uniqueId val="{00000000-DFA2-481A-A4D3-5423EA448843}"/>
            </c:ext>
          </c:extLst>
        </c:ser>
        <c:dLbls>
          <c:dLblPos val="inEnd"/>
          <c:showLegendKey val="0"/>
          <c:showVal val="1"/>
          <c:showCatName val="0"/>
          <c:showSerName val="0"/>
          <c:showPercent val="0"/>
          <c:showBubbleSize val="0"/>
        </c:dLbls>
        <c:gapWidth val="41"/>
        <c:axId val="475024224"/>
        <c:axId val="475024616"/>
      </c:barChart>
      <c:catAx>
        <c:axId val="475024224"/>
        <c:scaling>
          <c:orientation val="minMax"/>
        </c:scaling>
        <c:delete val="0"/>
        <c:axPos val="b"/>
        <c:numFmt formatCode="General" sourceLinked="1"/>
        <c:majorTickMark val="none"/>
        <c:minorTickMark val="none"/>
        <c:tickLblPos val="nextTo"/>
        <c:spPr>
          <a:noFill/>
          <a:ln>
            <a:noFill/>
          </a:ln>
          <a:effectLst/>
        </c:spPr>
        <c:txPr>
          <a:bodyPr rot="0" spcFirstLastPara="1" vertOverflow="ellipsis" wrap="square" anchor="ctr" anchorCtr="1"/>
          <a:lstStyle/>
          <a:p>
            <a:pPr>
              <a:defRPr sz="900" b="0" i="0" u="none" strike="noStrike" kern="1200" baseline="0">
                <a:solidFill>
                  <a:schemeClr val="dk1">
                    <a:lumMod val="65000"/>
                    <a:lumOff val="35000"/>
                  </a:schemeClr>
                </a:solidFill>
                <a:effectLst/>
                <a:latin typeface="+mn-lt"/>
                <a:ea typeface="+mn-ea"/>
                <a:cs typeface="+mn-cs"/>
              </a:defRPr>
            </a:pPr>
            <a:endParaRPr lang="en-US"/>
          </a:p>
        </c:txPr>
        <c:crossAx val="475024616"/>
        <c:crosses val="autoZero"/>
        <c:auto val="1"/>
        <c:lblAlgn val="ctr"/>
        <c:lblOffset val="100"/>
        <c:noMultiLvlLbl val="0"/>
      </c:catAx>
      <c:valAx>
        <c:axId val="475024616"/>
        <c:scaling>
          <c:orientation val="minMax"/>
        </c:scaling>
        <c:delete val="1"/>
        <c:axPos val="l"/>
        <c:numFmt formatCode="0.00%" sourceLinked="0"/>
        <c:majorTickMark val="none"/>
        <c:minorTickMark val="none"/>
        <c:tickLblPos val="nextTo"/>
        <c:crossAx val="475024224"/>
        <c:crosses val="autoZero"/>
        <c:crossBetween val="between"/>
      </c:valAx>
      <c:spPr>
        <a:noFill/>
        <a:ln>
          <a:noFill/>
        </a:ln>
        <a:effectLst/>
      </c:spPr>
    </c:plotArea>
    <c:plotVisOnly val="1"/>
    <c:dispBlanksAs val="gap"/>
    <c:showDLblsOverMax val="0"/>
  </c:chart>
  <c:spPr>
    <a:gradFill flip="none" rotWithShape="1">
      <a:gsLst>
        <a:gs pos="0">
          <a:schemeClr val="lt1"/>
        </a:gs>
        <a:gs pos="68000">
          <a:schemeClr val="lt1">
            <a:lumMod val="85000"/>
          </a:schemeClr>
        </a:gs>
        <a:gs pos="100000">
          <a:schemeClr val="lt1"/>
        </a:gs>
      </a:gsLst>
      <a:lin ang="5400000" scaled="1"/>
      <a:tileRect/>
    </a:gradFill>
    <a:ln w="9525" cap="flat" cmpd="sng" algn="ctr">
      <a:solidFill>
        <a:schemeClr val="dk1">
          <a:lumMod val="15000"/>
          <a:lumOff val="85000"/>
        </a:schemeClr>
      </a:solidFill>
      <a:round/>
    </a:ln>
    <a:effectLst/>
  </c:spPr>
  <c:txPr>
    <a:bodyPr/>
    <a:lstStyle/>
    <a:p>
      <a:pPr>
        <a:defRPr/>
      </a:pPr>
      <a:endParaRPr lang="en-US"/>
    </a:p>
  </c:txPr>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rot="0" spcFirstLastPara="1" vertOverflow="ellipsis" vert="horz" wrap="square" anchor="ctr" anchorCtr="1"/>
          <a:lstStyle/>
          <a:p>
            <a:pPr>
              <a:defRPr sz="1600" b="1" i="0" u="none" strike="noStrike" kern="1200" cap="none" spc="0" normalizeH="0" baseline="0">
                <a:solidFill>
                  <a:schemeClr val="dk1">
                    <a:lumMod val="50000"/>
                    <a:lumOff val="50000"/>
                  </a:schemeClr>
                </a:solidFill>
                <a:latin typeface="+mj-lt"/>
                <a:ea typeface="+mj-ea"/>
                <a:cs typeface="+mj-cs"/>
              </a:defRPr>
            </a:pPr>
            <a:r>
              <a:rPr lang="en-US"/>
              <a:t>Net Loan Losses by Category</a:t>
            </a:r>
          </a:p>
        </c:rich>
      </c:tx>
      <c:layout>
        <c:manualLayout>
          <c:xMode val="edge"/>
          <c:yMode val="edge"/>
          <c:x val="0.37069922308546099"/>
          <c:y val="1.9575856443719401E-2"/>
        </c:manualLayout>
      </c:layout>
      <c:overlay val="0"/>
      <c:spPr>
        <a:noFill/>
        <a:ln>
          <a:noFill/>
        </a:ln>
        <a:effectLst/>
      </c:spPr>
      <c:txPr>
        <a:bodyPr rot="0" spcFirstLastPara="1" vertOverflow="ellipsis" vert="horz" wrap="square" anchor="ctr" anchorCtr="1"/>
        <a:lstStyle/>
        <a:p>
          <a:pPr>
            <a:defRPr sz="1600" b="1" i="0" u="none" strike="noStrike" kern="1200" cap="none" spc="0" normalizeH="0" baseline="0">
              <a:solidFill>
                <a:schemeClr val="dk1">
                  <a:lumMod val="50000"/>
                  <a:lumOff val="50000"/>
                </a:schemeClr>
              </a:solidFill>
              <a:latin typeface="+mj-lt"/>
              <a:ea typeface="+mj-ea"/>
              <a:cs typeface="+mj-cs"/>
            </a:defRPr>
          </a:pPr>
          <a:endParaRPr lang="en-US"/>
        </a:p>
      </c:txPr>
    </c:title>
    <c:autoTitleDeleted val="0"/>
    <c:plotArea>
      <c:layout>
        <c:manualLayout>
          <c:layoutTarget val="inner"/>
          <c:xMode val="edge"/>
          <c:yMode val="edge"/>
          <c:x val="0.100998890122086"/>
          <c:y val="0.10603588907014699"/>
          <c:w val="0.70921198668146501"/>
          <c:h val="0.794453507340946"/>
        </c:manualLayout>
      </c:layout>
      <c:barChart>
        <c:barDir val="col"/>
        <c:grouping val="clustered"/>
        <c:varyColors val="0"/>
        <c:ser>
          <c:idx val="0"/>
          <c:order val="0"/>
          <c:tx>
            <c:strRef>
              <c:f>Results!$B$34</c:f>
              <c:strCache>
                <c:ptCount val="1"/>
                <c:pt idx="0">
                  <c:v>Y0</c:v>
                </c:pt>
              </c:strCache>
            </c:strRef>
          </c:tx>
          <c:spPr>
            <a:solidFill>
              <a:schemeClr val="accent1">
                <a:shade val="50000"/>
              </a:schemeClr>
            </a:solidFill>
            <a:ln>
              <a:noFill/>
            </a:ln>
            <a:effectLst/>
          </c:spPr>
          <c:invertIfNegative val="0"/>
          <c:cat>
            <c:strRef>
              <c:f>(Results!$A$35,Results!$A$42:$A$45)</c:f>
              <c:strCache>
                <c:ptCount val="5"/>
                <c:pt idx="0">
                  <c:v>Commercial Real Estate</c:v>
                </c:pt>
                <c:pt idx="1">
                  <c:v>Residential Mortgages</c:v>
                </c:pt>
                <c:pt idx="2">
                  <c:v>Consumer</c:v>
                </c:pt>
                <c:pt idx="3">
                  <c:v>Commercial &amp; Industrial</c:v>
                </c:pt>
                <c:pt idx="4">
                  <c:v>Agriculture</c:v>
                </c:pt>
              </c:strCache>
            </c:strRef>
          </c:cat>
          <c:val>
            <c:numRef>
              <c:f>(Results!$B$35,Results!$B$42:$B$45)</c:f>
              <c:numCache>
                <c:formatCode>0.00%</c:formatCode>
                <c:ptCount val="5"/>
                <c:pt idx="0">
                  <c:v>2.6506995193673337E-3</c:v>
                </c:pt>
                <c:pt idx="1">
                  <c:v>8.2408189533807966E-3</c:v>
                </c:pt>
                <c:pt idx="2">
                  <c:v>1.8737672583826429E-3</c:v>
                </c:pt>
                <c:pt idx="3">
                  <c:v>2.8542478343394556E-5</c:v>
                </c:pt>
                <c:pt idx="4">
                  <c:v>0</c:v>
                </c:pt>
              </c:numCache>
            </c:numRef>
          </c:val>
          <c:extLst>
            <c:ext xmlns:c16="http://schemas.microsoft.com/office/drawing/2014/chart" uri="{C3380CC4-5D6E-409C-BE32-E72D297353CC}">
              <c16:uniqueId val="{00000000-2BE4-4B88-B3C3-4CB5E35F1332}"/>
            </c:ext>
          </c:extLst>
        </c:ser>
        <c:ser>
          <c:idx val="1"/>
          <c:order val="1"/>
          <c:tx>
            <c:strRef>
              <c:f>Results!$C$34</c:f>
              <c:strCache>
                <c:ptCount val="1"/>
                <c:pt idx="0">
                  <c:v>Y1</c:v>
                </c:pt>
              </c:strCache>
            </c:strRef>
          </c:tx>
          <c:spPr>
            <a:solidFill>
              <a:schemeClr val="accent1">
                <a:shade val="70000"/>
              </a:schemeClr>
            </a:solidFill>
            <a:ln>
              <a:noFill/>
            </a:ln>
            <a:effectLst/>
          </c:spPr>
          <c:invertIfNegative val="0"/>
          <c:cat>
            <c:strRef>
              <c:f>(Results!$A$35,Results!$A$42:$A$45)</c:f>
              <c:strCache>
                <c:ptCount val="5"/>
                <c:pt idx="0">
                  <c:v>Commercial Real Estate</c:v>
                </c:pt>
                <c:pt idx="1">
                  <c:v>Residential Mortgages</c:v>
                </c:pt>
                <c:pt idx="2">
                  <c:v>Consumer</c:v>
                </c:pt>
                <c:pt idx="3">
                  <c:v>Commercial &amp; Industrial</c:v>
                </c:pt>
                <c:pt idx="4">
                  <c:v>Agriculture</c:v>
                </c:pt>
              </c:strCache>
            </c:strRef>
          </c:cat>
          <c:val>
            <c:numRef>
              <c:f>(Results!$C$35,Results!$C$42:$C$45)</c:f>
              <c:numCache>
                <c:formatCode>0.00%</c:formatCode>
                <c:ptCount val="5"/>
                <c:pt idx="0">
                  <c:v>7.2695564542219551E-3</c:v>
                </c:pt>
                <c:pt idx="1">
                  <c:v>6.2687827520081559E-3</c:v>
                </c:pt>
                <c:pt idx="2">
                  <c:v>1.9453491729563795E-2</c:v>
                </c:pt>
                <c:pt idx="3">
                  <c:v>1.9526428648913376E-2</c:v>
                </c:pt>
                <c:pt idx="4">
                  <c:v>6.6403925451213154E-3</c:v>
                </c:pt>
              </c:numCache>
            </c:numRef>
          </c:val>
          <c:extLst>
            <c:ext xmlns:c16="http://schemas.microsoft.com/office/drawing/2014/chart" uri="{C3380CC4-5D6E-409C-BE32-E72D297353CC}">
              <c16:uniqueId val="{00000001-2BE4-4B88-B3C3-4CB5E35F1332}"/>
            </c:ext>
          </c:extLst>
        </c:ser>
        <c:ser>
          <c:idx val="2"/>
          <c:order val="2"/>
          <c:tx>
            <c:strRef>
              <c:f>Results!$D$34</c:f>
              <c:strCache>
                <c:ptCount val="1"/>
                <c:pt idx="0">
                  <c:v>Y2</c:v>
                </c:pt>
              </c:strCache>
            </c:strRef>
          </c:tx>
          <c:spPr>
            <a:solidFill>
              <a:schemeClr val="accent1">
                <a:shade val="90000"/>
              </a:schemeClr>
            </a:solidFill>
            <a:ln>
              <a:noFill/>
            </a:ln>
            <a:effectLst/>
          </c:spPr>
          <c:invertIfNegative val="0"/>
          <c:cat>
            <c:strRef>
              <c:f>(Results!$A$35,Results!$A$42:$A$45)</c:f>
              <c:strCache>
                <c:ptCount val="5"/>
                <c:pt idx="0">
                  <c:v>Commercial Real Estate</c:v>
                </c:pt>
                <c:pt idx="1">
                  <c:v>Residential Mortgages</c:v>
                </c:pt>
                <c:pt idx="2">
                  <c:v>Consumer</c:v>
                </c:pt>
                <c:pt idx="3">
                  <c:v>Commercial &amp; Industrial</c:v>
                </c:pt>
                <c:pt idx="4">
                  <c:v>Agriculture</c:v>
                </c:pt>
              </c:strCache>
            </c:strRef>
          </c:cat>
          <c:val>
            <c:numRef>
              <c:f>(Results!$D$35,Results!$D$42:$D$45)</c:f>
              <c:numCache>
                <c:formatCode>0.00%</c:formatCode>
                <c:ptCount val="5"/>
                <c:pt idx="0">
                  <c:v>1.5411981553904613E-2</c:v>
                </c:pt>
                <c:pt idx="1">
                  <c:v>7.8418755351861852E-3</c:v>
                </c:pt>
                <c:pt idx="2">
                  <c:v>3.3829873306224806E-2</c:v>
                </c:pt>
                <c:pt idx="3">
                  <c:v>3.4417107228493775E-2</c:v>
                </c:pt>
                <c:pt idx="4">
                  <c:v>3.5744599319678548E-3</c:v>
                </c:pt>
              </c:numCache>
            </c:numRef>
          </c:val>
          <c:extLst>
            <c:ext xmlns:c16="http://schemas.microsoft.com/office/drawing/2014/chart" uri="{C3380CC4-5D6E-409C-BE32-E72D297353CC}">
              <c16:uniqueId val="{00000002-2BE4-4B88-B3C3-4CB5E35F1332}"/>
            </c:ext>
          </c:extLst>
        </c:ser>
        <c:ser>
          <c:idx val="3"/>
          <c:order val="3"/>
          <c:tx>
            <c:strRef>
              <c:f>Results!$E$34</c:f>
              <c:strCache>
                <c:ptCount val="1"/>
                <c:pt idx="0">
                  <c:v>Y3</c:v>
                </c:pt>
              </c:strCache>
            </c:strRef>
          </c:tx>
          <c:spPr>
            <a:solidFill>
              <a:schemeClr val="accent1">
                <a:tint val="90000"/>
              </a:schemeClr>
            </a:solidFill>
            <a:ln>
              <a:noFill/>
            </a:ln>
            <a:effectLst/>
          </c:spPr>
          <c:invertIfNegative val="0"/>
          <c:cat>
            <c:strRef>
              <c:f>(Results!$A$35,Results!$A$42:$A$45)</c:f>
              <c:strCache>
                <c:ptCount val="5"/>
                <c:pt idx="0">
                  <c:v>Commercial Real Estate</c:v>
                </c:pt>
                <c:pt idx="1">
                  <c:v>Residential Mortgages</c:v>
                </c:pt>
                <c:pt idx="2">
                  <c:v>Consumer</c:v>
                </c:pt>
                <c:pt idx="3">
                  <c:v>Commercial &amp; Industrial</c:v>
                </c:pt>
                <c:pt idx="4">
                  <c:v>Agriculture</c:v>
                </c:pt>
              </c:strCache>
            </c:strRef>
          </c:cat>
          <c:val>
            <c:numRef>
              <c:f>(Results!$E$35,Results!$E$42:$E$45)</c:f>
              <c:numCache>
                <c:formatCode>0.00%</c:formatCode>
                <c:ptCount val="5"/>
                <c:pt idx="0">
                  <c:v>1.794512621046675E-2</c:v>
                </c:pt>
                <c:pt idx="1">
                  <c:v>1.3852316405915676E-2</c:v>
                </c:pt>
                <c:pt idx="2">
                  <c:v>2.9979677201920543E-2</c:v>
                </c:pt>
                <c:pt idx="3">
                  <c:v>3.5205930567127661E-2</c:v>
                </c:pt>
                <c:pt idx="4">
                  <c:v>8.9089246539119965E-4</c:v>
                </c:pt>
              </c:numCache>
            </c:numRef>
          </c:val>
          <c:extLst>
            <c:ext xmlns:c16="http://schemas.microsoft.com/office/drawing/2014/chart" uri="{C3380CC4-5D6E-409C-BE32-E72D297353CC}">
              <c16:uniqueId val="{00000003-2BE4-4B88-B3C3-4CB5E35F1332}"/>
            </c:ext>
          </c:extLst>
        </c:ser>
        <c:ser>
          <c:idx val="4"/>
          <c:order val="4"/>
          <c:tx>
            <c:strRef>
              <c:f>Results!$F$34</c:f>
              <c:strCache>
                <c:ptCount val="1"/>
                <c:pt idx="0">
                  <c:v>Y4</c:v>
                </c:pt>
              </c:strCache>
            </c:strRef>
          </c:tx>
          <c:spPr>
            <a:solidFill>
              <a:schemeClr val="accent1">
                <a:tint val="70000"/>
              </a:schemeClr>
            </a:solidFill>
            <a:ln>
              <a:noFill/>
            </a:ln>
            <a:effectLst/>
          </c:spPr>
          <c:invertIfNegative val="0"/>
          <c:cat>
            <c:strRef>
              <c:f>(Results!$A$35,Results!$A$42:$A$45)</c:f>
              <c:strCache>
                <c:ptCount val="5"/>
                <c:pt idx="0">
                  <c:v>Commercial Real Estate</c:v>
                </c:pt>
                <c:pt idx="1">
                  <c:v>Residential Mortgages</c:v>
                </c:pt>
                <c:pt idx="2">
                  <c:v>Consumer</c:v>
                </c:pt>
                <c:pt idx="3">
                  <c:v>Commercial &amp; Industrial</c:v>
                </c:pt>
                <c:pt idx="4">
                  <c:v>Agriculture</c:v>
                </c:pt>
              </c:strCache>
            </c:strRef>
          </c:cat>
          <c:val>
            <c:numRef>
              <c:f>(Results!$F$35,Results!$F$42:$F$45)</c:f>
              <c:numCache>
                <c:formatCode>0.00%</c:formatCode>
                <c:ptCount val="5"/>
                <c:pt idx="0">
                  <c:v>2.1641889320346205E-2</c:v>
                </c:pt>
                <c:pt idx="1">
                  <c:v>1.2592506187996066E-2</c:v>
                </c:pt>
                <c:pt idx="2">
                  <c:v>1.8628700076743054E-2</c:v>
                </c:pt>
                <c:pt idx="3">
                  <c:v>1.8578058399033374E-2</c:v>
                </c:pt>
                <c:pt idx="4">
                  <c:v>2.3847886656300533E-4</c:v>
                </c:pt>
              </c:numCache>
            </c:numRef>
          </c:val>
          <c:extLst>
            <c:ext xmlns:c16="http://schemas.microsoft.com/office/drawing/2014/chart" uri="{C3380CC4-5D6E-409C-BE32-E72D297353CC}">
              <c16:uniqueId val="{00000004-2BE4-4B88-B3C3-4CB5E35F1332}"/>
            </c:ext>
          </c:extLst>
        </c:ser>
        <c:ser>
          <c:idx val="5"/>
          <c:order val="5"/>
          <c:tx>
            <c:strRef>
              <c:f>Results!$G$34</c:f>
              <c:strCache>
                <c:ptCount val="1"/>
                <c:pt idx="0">
                  <c:v>Y5</c:v>
                </c:pt>
              </c:strCache>
            </c:strRef>
          </c:tx>
          <c:spPr>
            <a:solidFill>
              <a:schemeClr val="accent1">
                <a:tint val="50000"/>
              </a:schemeClr>
            </a:solidFill>
            <a:ln>
              <a:noFill/>
            </a:ln>
            <a:effectLst/>
          </c:spPr>
          <c:invertIfNegative val="0"/>
          <c:cat>
            <c:strRef>
              <c:f>(Results!$A$35,Results!$A$42:$A$45)</c:f>
              <c:strCache>
                <c:ptCount val="5"/>
                <c:pt idx="0">
                  <c:v>Commercial Real Estate</c:v>
                </c:pt>
                <c:pt idx="1">
                  <c:v>Residential Mortgages</c:v>
                </c:pt>
                <c:pt idx="2">
                  <c:v>Consumer</c:v>
                </c:pt>
                <c:pt idx="3">
                  <c:v>Commercial &amp; Industrial</c:v>
                </c:pt>
                <c:pt idx="4">
                  <c:v>Agriculture</c:v>
                </c:pt>
              </c:strCache>
            </c:strRef>
          </c:cat>
          <c:val>
            <c:numRef>
              <c:f>(Results!$G$35,Results!$G$42:$G$45)</c:f>
              <c:numCache>
                <c:formatCode>0.00%</c:formatCode>
                <c:ptCount val="5"/>
                <c:pt idx="0">
                  <c:v>1.1576499412983268E-2</c:v>
                </c:pt>
                <c:pt idx="1">
                  <c:v>9.765124161528551E-3</c:v>
                </c:pt>
                <c:pt idx="2">
                  <c:v>2.6449762400754018E-2</c:v>
                </c:pt>
                <c:pt idx="3">
                  <c:v>1.987584116053082E-2</c:v>
                </c:pt>
                <c:pt idx="4">
                  <c:v>5.0763238425520008E-4</c:v>
                </c:pt>
              </c:numCache>
            </c:numRef>
          </c:val>
          <c:extLst>
            <c:ext xmlns:c16="http://schemas.microsoft.com/office/drawing/2014/chart" uri="{C3380CC4-5D6E-409C-BE32-E72D297353CC}">
              <c16:uniqueId val="{00000005-2BE4-4B88-B3C3-4CB5E35F1332}"/>
            </c:ext>
          </c:extLst>
        </c:ser>
        <c:dLbls>
          <c:showLegendKey val="0"/>
          <c:showVal val="0"/>
          <c:showCatName val="0"/>
          <c:showSerName val="0"/>
          <c:showPercent val="0"/>
          <c:showBubbleSize val="0"/>
        </c:dLbls>
        <c:gapWidth val="267"/>
        <c:overlap val="-43"/>
        <c:axId val="344875520"/>
        <c:axId val="475025400"/>
      </c:barChart>
      <c:catAx>
        <c:axId val="344875520"/>
        <c:scaling>
          <c:orientation val="minMax"/>
        </c:scaling>
        <c:delete val="0"/>
        <c:axPos val="b"/>
        <c:majorGridlines>
          <c:spPr>
            <a:ln w="9525" cap="flat" cmpd="sng" algn="ctr">
              <a:solidFill>
                <a:schemeClr val="dk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dk1">
                <a:lumMod val="15000"/>
                <a:lumOff val="85000"/>
              </a:schemeClr>
            </a:solidFill>
            <a:round/>
          </a:ln>
          <a:effectLst/>
        </c:spPr>
        <c:txPr>
          <a:bodyPr rot="0" spcFirstLastPara="1" vertOverflow="ellipsis" wrap="square" anchor="ctr" anchorCtr="1"/>
          <a:lstStyle/>
          <a:p>
            <a:pPr>
              <a:defRPr sz="900" b="0" i="0" u="none" strike="noStrike" kern="1200" cap="none" spc="0" normalizeH="0" baseline="0">
                <a:solidFill>
                  <a:schemeClr val="dk1">
                    <a:lumMod val="65000"/>
                    <a:lumOff val="35000"/>
                  </a:schemeClr>
                </a:solidFill>
                <a:latin typeface="+mn-lt"/>
                <a:ea typeface="+mn-ea"/>
                <a:cs typeface="+mn-cs"/>
              </a:defRPr>
            </a:pPr>
            <a:endParaRPr lang="en-US"/>
          </a:p>
        </c:txPr>
        <c:crossAx val="475025400"/>
        <c:crosses val="autoZero"/>
        <c:auto val="1"/>
        <c:lblAlgn val="ctr"/>
        <c:lblOffset val="100"/>
        <c:noMultiLvlLbl val="0"/>
      </c:catAx>
      <c:valAx>
        <c:axId val="475025400"/>
        <c:scaling>
          <c:orientation val="minMax"/>
        </c:scaling>
        <c:delete val="0"/>
        <c:axPos val="l"/>
        <c:majorGridlines>
          <c:spPr>
            <a:ln w="9525" cap="flat" cmpd="sng" algn="ctr">
              <a:solidFill>
                <a:schemeClr val="dk1">
                  <a:lumMod val="15000"/>
                  <a:lumOff val="85000"/>
                </a:schemeClr>
              </a:solidFill>
              <a:round/>
            </a:ln>
            <a:effectLst/>
          </c:spPr>
        </c:majorGridlines>
        <c:numFmt formatCode="0.0%" sourceLinked="0"/>
        <c:majorTickMark val="none"/>
        <c:minorTickMark val="none"/>
        <c:tickLblPos val="nextTo"/>
        <c:spPr>
          <a:noFill/>
          <a:ln>
            <a:noFill/>
          </a:ln>
          <a:effectLst/>
        </c:spPr>
        <c:txPr>
          <a:bodyPr rot="0" spcFirstLastPara="1" vertOverflow="ellipsis"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n-US"/>
          </a:p>
        </c:txPr>
        <c:crossAx val="344875520"/>
        <c:crosses val="autoZero"/>
        <c:crossBetween val="between"/>
      </c:valAx>
      <c:spPr>
        <a:pattFill prst="ltDnDiag">
          <a:fgClr>
            <a:schemeClr val="dk1">
              <a:lumMod val="15000"/>
              <a:lumOff val="85000"/>
            </a:schemeClr>
          </a:fgClr>
          <a:bgClr>
            <a:schemeClr val="lt1"/>
          </a:bgClr>
        </a:patt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dk1">
          <a:lumMod val="15000"/>
          <a:lumOff val="85000"/>
        </a:schemeClr>
      </a:solidFill>
      <a:round/>
    </a:ln>
    <a:effectLst/>
  </c:spPr>
  <c:txPr>
    <a:bodyPr/>
    <a:lstStyle/>
    <a:p>
      <a:pPr>
        <a:defRPr/>
      </a:pPr>
      <a:endParaRPr lang="en-US"/>
    </a:p>
  </c:txPr>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4"/>
    </mc:Choice>
    <mc:Fallback>
      <c:style val="4"/>
    </mc:Fallback>
  </mc:AlternateContent>
  <c:chart>
    <c:title>
      <c:tx>
        <c:rich>
          <a:bodyPr rot="0" spcFirstLastPara="1" vertOverflow="ellipsis" vert="horz" wrap="square" anchor="ctr" anchorCtr="1"/>
          <a:lstStyle/>
          <a:p>
            <a:pPr>
              <a:defRPr sz="1600" b="1" i="0" u="none" strike="noStrike" kern="1200" cap="none" spc="0" normalizeH="0" baseline="0">
                <a:solidFill>
                  <a:schemeClr val="dk1">
                    <a:lumMod val="50000"/>
                    <a:lumOff val="50000"/>
                  </a:schemeClr>
                </a:solidFill>
                <a:latin typeface="+mj-lt"/>
                <a:ea typeface="+mj-ea"/>
                <a:cs typeface="+mj-cs"/>
              </a:defRPr>
            </a:pPr>
            <a:r>
              <a:rPr lang="en-US"/>
              <a:t>Chargeoffs by CRE Category</a:t>
            </a:r>
          </a:p>
        </c:rich>
      </c:tx>
      <c:overlay val="1"/>
      <c:spPr>
        <a:noFill/>
        <a:ln>
          <a:noFill/>
        </a:ln>
        <a:effectLst/>
      </c:spPr>
      <c:txPr>
        <a:bodyPr rot="0" spcFirstLastPara="1" vertOverflow="ellipsis" vert="horz" wrap="square" anchor="ctr" anchorCtr="1"/>
        <a:lstStyle/>
        <a:p>
          <a:pPr>
            <a:defRPr sz="1600" b="1" i="0" u="none" strike="noStrike" kern="1200" cap="none" spc="0" normalizeH="0" baseline="0">
              <a:solidFill>
                <a:schemeClr val="dk1">
                  <a:lumMod val="50000"/>
                  <a:lumOff val="50000"/>
                </a:schemeClr>
              </a:solidFill>
              <a:latin typeface="+mj-lt"/>
              <a:ea typeface="+mj-ea"/>
              <a:cs typeface="+mj-cs"/>
            </a:defRPr>
          </a:pPr>
          <a:endParaRPr lang="en-US"/>
        </a:p>
      </c:txPr>
    </c:title>
    <c:autoTitleDeleted val="0"/>
    <c:plotArea>
      <c:layout>
        <c:manualLayout>
          <c:layoutTarget val="inner"/>
          <c:xMode val="edge"/>
          <c:yMode val="edge"/>
          <c:x val="9.9519407632863585E-2"/>
          <c:y val="0.11309598698128337"/>
          <c:w val="0.70477247502774698"/>
          <c:h val="0.73894603794063207"/>
        </c:manualLayout>
      </c:layout>
      <c:barChart>
        <c:barDir val="col"/>
        <c:grouping val="clustered"/>
        <c:varyColors val="0"/>
        <c:ser>
          <c:idx val="1"/>
          <c:order val="0"/>
          <c:tx>
            <c:strRef>
              <c:f>Results!$B$4</c:f>
              <c:strCache>
                <c:ptCount val="1"/>
                <c:pt idx="0">
                  <c:v>Y0</c:v>
                </c:pt>
              </c:strCache>
            </c:strRef>
          </c:tx>
          <c:spPr>
            <a:solidFill>
              <a:schemeClr val="accent2">
                <a:shade val="58000"/>
              </a:schemeClr>
            </a:solidFill>
            <a:ln>
              <a:noFill/>
            </a:ln>
            <a:effectLst/>
          </c:spPr>
          <c:invertIfNegative val="0"/>
          <c:cat>
            <c:strRef>
              <c:f>Results!$A$36:$A$41</c:f>
              <c:strCache>
                <c:ptCount val="6"/>
                <c:pt idx="0">
                  <c:v>   Multifamily</c:v>
                </c:pt>
                <c:pt idx="1">
                  <c:v>   NFR-Other</c:v>
                </c:pt>
                <c:pt idx="2">
                  <c:v>   NFR-OwnerOccupied</c:v>
                </c:pt>
                <c:pt idx="3">
                  <c:v>   Farm</c:v>
                </c:pt>
                <c:pt idx="4">
                  <c:v>   CLD-Other</c:v>
                </c:pt>
                <c:pt idx="5">
                  <c:v>   CLD-Residential</c:v>
                </c:pt>
              </c:strCache>
            </c:strRef>
          </c:cat>
          <c:val>
            <c:numRef>
              <c:f>Results!$B$36:$B$41</c:f>
              <c:numCache>
                <c:formatCode>0.00%</c:formatCode>
                <c:ptCount val="6"/>
                <c:pt idx="0">
                  <c:v>1.2042725495671599E-3</c:v>
                </c:pt>
                <c:pt idx="1">
                  <c:v>5.2438202793462932E-3</c:v>
                </c:pt>
                <c:pt idx="2">
                  <c:v>8.6231031972674847E-4</c:v>
                </c:pt>
                <c:pt idx="3">
                  <c:v>0</c:v>
                </c:pt>
                <c:pt idx="4">
                  <c:v>3.1130334168985373E-3</c:v>
                </c:pt>
                <c:pt idx="5">
                  <c:v>4.1904761904761906E-3</c:v>
                </c:pt>
              </c:numCache>
            </c:numRef>
          </c:val>
          <c:extLst>
            <c:ext xmlns:c16="http://schemas.microsoft.com/office/drawing/2014/chart" uri="{C3380CC4-5D6E-409C-BE32-E72D297353CC}">
              <c16:uniqueId val="{00000000-80C5-4980-B1ED-09EFB4B80AB1}"/>
            </c:ext>
          </c:extLst>
        </c:ser>
        <c:ser>
          <c:idx val="3"/>
          <c:order val="1"/>
          <c:tx>
            <c:strRef>
              <c:f>Results!$C$4</c:f>
              <c:strCache>
                <c:ptCount val="1"/>
                <c:pt idx="0">
                  <c:v>Y1</c:v>
                </c:pt>
              </c:strCache>
            </c:strRef>
          </c:tx>
          <c:spPr>
            <a:solidFill>
              <a:schemeClr val="accent2">
                <a:shade val="86000"/>
              </a:schemeClr>
            </a:solidFill>
            <a:ln>
              <a:noFill/>
            </a:ln>
            <a:effectLst/>
          </c:spPr>
          <c:invertIfNegative val="0"/>
          <c:cat>
            <c:strRef>
              <c:f>Results!$A$36:$A$41</c:f>
              <c:strCache>
                <c:ptCount val="6"/>
                <c:pt idx="0">
                  <c:v>   Multifamily</c:v>
                </c:pt>
                <c:pt idx="1">
                  <c:v>   NFR-Other</c:v>
                </c:pt>
                <c:pt idx="2">
                  <c:v>   NFR-OwnerOccupied</c:v>
                </c:pt>
                <c:pt idx="3">
                  <c:v>   Farm</c:v>
                </c:pt>
                <c:pt idx="4">
                  <c:v>   CLD-Other</c:v>
                </c:pt>
                <c:pt idx="5">
                  <c:v>   CLD-Residential</c:v>
                </c:pt>
              </c:strCache>
            </c:strRef>
          </c:cat>
          <c:val>
            <c:numRef>
              <c:f>Results!$C$36:$C$41</c:f>
              <c:numCache>
                <c:formatCode>0.00%</c:formatCode>
                <c:ptCount val="6"/>
                <c:pt idx="0">
                  <c:v>7.6790293492220354E-3</c:v>
                </c:pt>
                <c:pt idx="1">
                  <c:v>2.4856722454647383E-3</c:v>
                </c:pt>
                <c:pt idx="2">
                  <c:v>1.2516688798264732E-2</c:v>
                </c:pt>
                <c:pt idx="3">
                  <c:v>0</c:v>
                </c:pt>
                <c:pt idx="4">
                  <c:v>0</c:v>
                </c:pt>
                <c:pt idx="5">
                  <c:v>3.44261211305348E-3</c:v>
                </c:pt>
              </c:numCache>
            </c:numRef>
          </c:val>
          <c:extLst>
            <c:ext xmlns:c16="http://schemas.microsoft.com/office/drawing/2014/chart" uri="{C3380CC4-5D6E-409C-BE32-E72D297353CC}">
              <c16:uniqueId val="{00000001-80C5-4980-B1ED-09EFB4B80AB1}"/>
            </c:ext>
          </c:extLst>
        </c:ser>
        <c:ser>
          <c:idx val="4"/>
          <c:order val="2"/>
          <c:tx>
            <c:strRef>
              <c:f>Results!$D$4</c:f>
              <c:strCache>
                <c:ptCount val="1"/>
                <c:pt idx="0">
                  <c:v>Y2</c:v>
                </c:pt>
              </c:strCache>
            </c:strRef>
          </c:tx>
          <c:spPr>
            <a:solidFill>
              <a:schemeClr val="accent2"/>
            </a:solidFill>
            <a:ln>
              <a:noFill/>
            </a:ln>
            <a:effectLst/>
          </c:spPr>
          <c:invertIfNegative val="0"/>
          <c:cat>
            <c:strRef>
              <c:f>Results!$A$36:$A$41</c:f>
              <c:strCache>
                <c:ptCount val="6"/>
                <c:pt idx="0">
                  <c:v>   Multifamily</c:v>
                </c:pt>
                <c:pt idx="1">
                  <c:v>   NFR-Other</c:v>
                </c:pt>
                <c:pt idx="2">
                  <c:v>   NFR-OwnerOccupied</c:v>
                </c:pt>
                <c:pt idx="3">
                  <c:v>   Farm</c:v>
                </c:pt>
                <c:pt idx="4">
                  <c:v>   CLD-Other</c:v>
                </c:pt>
                <c:pt idx="5">
                  <c:v>   CLD-Residential</c:v>
                </c:pt>
              </c:strCache>
            </c:strRef>
          </c:cat>
          <c:val>
            <c:numRef>
              <c:f>Results!$D$36:$D$41</c:f>
              <c:numCache>
                <c:formatCode>0.00%</c:formatCode>
                <c:ptCount val="6"/>
                <c:pt idx="0">
                  <c:v>5.852277095872379E-3</c:v>
                </c:pt>
                <c:pt idx="1">
                  <c:v>2.6561604163810822E-2</c:v>
                </c:pt>
                <c:pt idx="2">
                  <c:v>9.8783105454869242E-3</c:v>
                </c:pt>
                <c:pt idx="3">
                  <c:v>0</c:v>
                </c:pt>
                <c:pt idx="4">
                  <c:v>1.2473261200106651E-2</c:v>
                </c:pt>
                <c:pt idx="5">
                  <c:v>6.0196332654195196E-3</c:v>
                </c:pt>
              </c:numCache>
            </c:numRef>
          </c:val>
          <c:extLst>
            <c:ext xmlns:c16="http://schemas.microsoft.com/office/drawing/2014/chart" uri="{C3380CC4-5D6E-409C-BE32-E72D297353CC}">
              <c16:uniqueId val="{00000002-80C5-4980-B1ED-09EFB4B80AB1}"/>
            </c:ext>
          </c:extLst>
        </c:ser>
        <c:ser>
          <c:idx val="5"/>
          <c:order val="3"/>
          <c:tx>
            <c:strRef>
              <c:f>Results!$E$4</c:f>
              <c:strCache>
                <c:ptCount val="1"/>
                <c:pt idx="0">
                  <c:v>Y3</c:v>
                </c:pt>
              </c:strCache>
            </c:strRef>
          </c:tx>
          <c:spPr>
            <a:solidFill>
              <a:schemeClr val="accent2">
                <a:tint val="86000"/>
              </a:schemeClr>
            </a:solidFill>
            <a:ln>
              <a:noFill/>
            </a:ln>
            <a:effectLst/>
          </c:spPr>
          <c:invertIfNegative val="0"/>
          <c:cat>
            <c:strRef>
              <c:f>Results!$A$36:$A$41</c:f>
              <c:strCache>
                <c:ptCount val="6"/>
                <c:pt idx="0">
                  <c:v>   Multifamily</c:v>
                </c:pt>
                <c:pt idx="1">
                  <c:v>   NFR-Other</c:v>
                </c:pt>
                <c:pt idx="2">
                  <c:v>   NFR-OwnerOccupied</c:v>
                </c:pt>
                <c:pt idx="3">
                  <c:v>   Farm</c:v>
                </c:pt>
                <c:pt idx="4">
                  <c:v>   CLD-Other</c:v>
                </c:pt>
                <c:pt idx="5">
                  <c:v>   CLD-Residential</c:v>
                </c:pt>
              </c:strCache>
            </c:strRef>
          </c:cat>
          <c:val>
            <c:numRef>
              <c:f>Results!$E$36:$E$41</c:f>
              <c:numCache>
                <c:formatCode>0.00%</c:formatCode>
                <c:ptCount val="6"/>
                <c:pt idx="0">
                  <c:v>8.4021472753145685E-3</c:v>
                </c:pt>
                <c:pt idx="1">
                  <c:v>1.8537998174205154E-2</c:v>
                </c:pt>
                <c:pt idx="2">
                  <c:v>1.2587799534564828E-2</c:v>
                </c:pt>
                <c:pt idx="3">
                  <c:v>0</c:v>
                </c:pt>
                <c:pt idx="4">
                  <c:v>5.7023098287242086E-2</c:v>
                </c:pt>
                <c:pt idx="5">
                  <c:v>0</c:v>
                </c:pt>
              </c:numCache>
            </c:numRef>
          </c:val>
          <c:extLst>
            <c:ext xmlns:c16="http://schemas.microsoft.com/office/drawing/2014/chart" uri="{C3380CC4-5D6E-409C-BE32-E72D297353CC}">
              <c16:uniqueId val="{00000003-80C5-4980-B1ED-09EFB4B80AB1}"/>
            </c:ext>
          </c:extLst>
        </c:ser>
        <c:ser>
          <c:idx val="7"/>
          <c:order val="4"/>
          <c:tx>
            <c:strRef>
              <c:f>Results!$F$4</c:f>
              <c:strCache>
                <c:ptCount val="1"/>
                <c:pt idx="0">
                  <c:v>Y4</c:v>
                </c:pt>
              </c:strCache>
            </c:strRef>
          </c:tx>
          <c:spPr>
            <a:solidFill>
              <a:schemeClr val="accent2">
                <a:tint val="58000"/>
              </a:schemeClr>
            </a:solidFill>
            <a:ln>
              <a:noFill/>
            </a:ln>
            <a:effectLst/>
          </c:spPr>
          <c:invertIfNegative val="0"/>
          <c:cat>
            <c:strRef>
              <c:f>Results!$A$36:$A$41</c:f>
              <c:strCache>
                <c:ptCount val="6"/>
                <c:pt idx="0">
                  <c:v>   Multifamily</c:v>
                </c:pt>
                <c:pt idx="1">
                  <c:v>   NFR-Other</c:v>
                </c:pt>
                <c:pt idx="2">
                  <c:v>   NFR-OwnerOccupied</c:v>
                </c:pt>
                <c:pt idx="3">
                  <c:v>   Farm</c:v>
                </c:pt>
                <c:pt idx="4">
                  <c:v>   CLD-Other</c:v>
                </c:pt>
                <c:pt idx="5">
                  <c:v>   CLD-Residential</c:v>
                </c:pt>
              </c:strCache>
            </c:strRef>
          </c:cat>
          <c:val>
            <c:numRef>
              <c:f>Results!$F$36:$F$41</c:f>
              <c:numCache>
                <c:formatCode>0.00%</c:formatCode>
                <c:ptCount val="6"/>
                <c:pt idx="0">
                  <c:v>3.3035469838124012E-2</c:v>
                </c:pt>
                <c:pt idx="1">
                  <c:v>1.5634117220855791E-2</c:v>
                </c:pt>
                <c:pt idx="2">
                  <c:v>9.7380283563769238E-3</c:v>
                </c:pt>
                <c:pt idx="3">
                  <c:v>1.8713091987476713E-4</c:v>
                </c:pt>
                <c:pt idx="4">
                  <c:v>8.0007986132827141E-2</c:v>
                </c:pt>
                <c:pt idx="5">
                  <c:v>3.1710715124871516E-2</c:v>
                </c:pt>
              </c:numCache>
            </c:numRef>
          </c:val>
          <c:extLst>
            <c:ext xmlns:c16="http://schemas.microsoft.com/office/drawing/2014/chart" uri="{C3380CC4-5D6E-409C-BE32-E72D297353CC}">
              <c16:uniqueId val="{00000004-80C5-4980-B1ED-09EFB4B80AB1}"/>
            </c:ext>
          </c:extLst>
        </c:ser>
        <c:ser>
          <c:idx val="8"/>
          <c:order val="5"/>
          <c:tx>
            <c:strRef>
              <c:f>Results!$G$4</c:f>
              <c:strCache>
                <c:ptCount val="1"/>
                <c:pt idx="0">
                  <c:v>Y5</c:v>
                </c:pt>
              </c:strCache>
            </c:strRef>
          </c:tx>
          <c:spPr>
            <a:solidFill>
              <a:schemeClr val="accent2">
                <a:tint val="44000"/>
              </a:schemeClr>
            </a:solidFill>
            <a:ln>
              <a:noFill/>
            </a:ln>
            <a:effectLst/>
          </c:spPr>
          <c:invertIfNegative val="0"/>
          <c:cat>
            <c:strRef>
              <c:f>Results!$A$36:$A$41</c:f>
              <c:strCache>
                <c:ptCount val="6"/>
                <c:pt idx="0">
                  <c:v>   Multifamily</c:v>
                </c:pt>
                <c:pt idx="1">
                  <c:v>   NFR-Other</c:v>
                </c:pt>
                <c:pt idx="2">
                  <c:v>   NFR-OwnerOccupied</c:v>
                </c:pt>
                <c:pt idx="3">
                  <c:v>   Farm</c:v>
                </c:pt>
                <c:pt idx="4">
                  <c:v>   CLD-Other</c:v>
                </c:pt>
                <c:pt idx="5">
                  <c:v>   CLD-Residential</c:v>
                </c:pt>
              </c:strCache>
            </c:strRef>
          </c:cat>
          <c:val>
            <c:numRef>
              <c:f>Results!$G$36:$G$41</c:f>
              <c:numCache>
                <c:formatCode>0.00%</c:formatCode>
                <c:ptCount val="6"/>
                <c:pt idx="0">
                  <c:v>6.7809151515049607E-3</c:v>
                </c:pt>
                <c:pt idx="1">
                  <c:v>1.2167969218575403E-2</c:v>
                </c:pt>
                <c:pt idx="2">
                  <c:v>9.086763391561354E-3</c:v>
                </c:pt>
                <c:pt idx="3">
                  <c:v>0</c:v>
                </c:pt>
                <c:pt idx="4">
                  <c:v>3.138023712989501E-2</c:v>
                </c:pt>
                <c:pt idx="5">
                  <c:v>3.161229661446678E-3</c:v>
                </c:pt>
              </c:numCache>
            </c:numRef>
          </c:val>
          <c:extLst>
            <c:ext xmlns:c16="http://schemas.microsoft.com/office/drawing/2014/chart" uri="{C3380CC4-5D6E-409C-BE32-E72D297353CC}">
              <c16:uniqueId val="{00000005-80C5-4980-B1ED-09EFB4B80AB1}"/>
            </c:ext>
          </c:extLst>
        </c:ser>
        <c:dLbls>
          <c:showLegendKey val="0"/>
          <c:showVal val="0"/>
          <c:showCatName val="0"/>
          <c:showSerName val="0"/>
          <c:showPercent val="0"/>
          <c:showBubbleSize val="0"/>
        </c:dLbls>
        <c:gapWidth val="267"/>
        <c:overlap val="-43"/>
        <c:axId val="474956488"/>
        <c:axId val="474956096"/>
      </c:barChart>
      <c:catAx>
        <c:axId val="474956488"/>
        <c:scaling>
          <c:orientation val="minMax"/>
        </c:scaling>
        <c:delete val="0"/>
        <c:axPos val="b"/>
        <c:majorGridlines>
          <c:spPr>
            <a:ln w="9525" cap="flat" cmpd="sng" algn="ctr">
              <a:solidFill>
                <a:schemeClr val="dk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dk1">
                <a:lumMod val="15000"/>
                <a:lumOff val="85000"/>
              </a:schemeClr>
            </a:solidFill>
            <a:round/>
          </a:ln>
          <a:effectLst/>
        </c:spPr>
        <c:txPr>
          <a:bodyPr rot="0" spcFirstLastPara="1" vertOverflow="ellipsis" wrap="square" anchor="ctr" anchorCtr="1"/>
          <a:lstStyle/>
          <a:p>
            <a:pPr>
              <a:defRPr sz="900" b="0" i="0" u="none" strike="noStrike" kern="1200" cap="none" spc="0" normalizeH="0" baseline="0">
                <a:solidFill>
                  <a:schemeClr val="dk1">
                    <a:lumMod val="65000"/>
                    <a:lumOff val="35000"/>
                  </a:schemeClr>
                </a:solidFill>
                <a:latin typeface="+mn-lt"/>
                <a:ea typeface="+mn-ea"/>
                <a:cs typeface="+mn-cs"/>
              </a:defRPr>
            </a:pPr>
            <a:endParaRPr lang="en-US"/>
          </a:p>
        </c:txPr>
        <c:crossAx val="474956096"/>
        <c:crosses val="autoZero"/>
        <c:auto val="1"/>
        <c:lblAlgn val="ctr"/>
        <c:lblOffset val="100"/>
        <c:noMultiLvlLbl val="0"/>
      </c:catAx>
      <c:valAx>
        <c:axId val="474956096"/>
        <c:scaling>
          <c:orientation val="minMax"/>
        </c:scaling>
        <c:delete val="0"/>
        <c:axPos val="l"/>
        <c:majorGridlines>
          <c:spPr>
            <a:ln w="9525" cap="flat" cmpd="sng" algn="ctr">
              <a:solidFill>
                <a:schemeClr val="dk1">
                  <a:lumMod val="15000"/>
                  <a:lumOff val="85000"/>
                </a:schemeClr>
              </a:solidFill>
              <a:round/>
            </a:ln>
            <a:effectLst/>
          </c:spPr>
        </c:majorGridlines>
        <c:numFmt formatCode="0.0%" sourceLinked="0"/>
        <c:majorTickMark val="none"/>
        <c:minorTickMark val="none"/>
        <c:tickLblPos val="nextTo"/>
        <c:spPr>
          <a:noFill/>
          <a:ln>
            <a:noFill/>
          </a:ln>
          <a:effectLst/>
        </c:spPr>
        <c:txPr>
          <a:bodyPr rot="0" spcFirstLastPara="1" vertOverflow="ellipsis"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n-US"/>
          </a:p>
        </c:txPr>
        <c:crossAx val="474956488"/>
        <c:crosses val="autoZero"/>
        <c:crossBetween val="between"/>
      </c:valAx>
      <c:spPr>
        <a:pattFill prst="ltDnDiag">
          <a:fgClr>
            <a:schemeClr val="dk1">
              <a:lumMod val="15000"/>
              <a:lumOff val="85000"/>
            </a:schemeClr>
          </a:fgClr>
          <a:bgClr>
            <a:schemeClr val="lt1"/>
          </a:bgClr>
        </a:patt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dk1">
          <a:lumMod val="15000"/>
          <a:lumOff val="85000"/>
        </a:schemeClr>
      </a:solidFill>
      <a:round/>
    </a:ln>
    <a:effectLst/>
  </c:spPr>
  <c:txPr>
    <a:bodyPr/>
    <a:lstStyle/>
    <a:p>
      <a:pPr>
        <a:defRPr/>
      </a:pPr>
      <a:endParaRPr lang="en-US"/>
    </a:p>
  </c:txPr>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7"/>
    </mc:Choice>
    <mc:Fallback>
      <c:style val="7"/>
    </mc:Fallback>
  </mc:AlternateContent>
  <c:chart>
    <c:title>
      <c:tx>
        <c:rich>
          <a:bodyPr rot="0" spcFirstLastPara="1" vertOverflow="ellipsis" vert="horz" wrap="square" anchor="ctr" anchorCtr="1"/>
          <a:lstStyle/>
          <a:p>
            <a:pPr>
              <a:defRPr sz="1600" b="1" i="0" u="none" strike="noStrike" kern="1200" baseline="0">
                <a:solidFill>
                  <a:srgbClr val="000000"/>
                </a:solidFill>
                <a:latin typeface="Arial"/>
                <a:ea typeface="Arial"/>
                <a:cs typeface="Arial"/>
              </a:defRPr>
            </a:pPr>
            <a:r>
              <a:rPr lang="en-US"/>
              <a:t>CRE Pre-Shock Loan Share</a:t>
            </a:r>
          </a:p>
        </c:rich>
      </c:tx>
      <c:layout>
        <c:manualLayout>
          <c:xMode val="edge"/>
          <c:yMode val="edge"/>
          <c:x val="0.34295227524972299"/>
          <c:y val="1.9575856443719401E-2"/>
        </c:manualLayout>
      </c:layout>
      <c:overlay val="0"/>
      <c:spPr>
        <a:noFill/>
        <a:ln w="25400">
          <a:noFill/>
        </a:ln>
        <a:effectLst/>
      </c:spPr>
      <c:txPr>
        <a:bodyPr rot="0" spcFirstLastPara="1" vertOverflow="ellipsis" vert="horz" wrap="square" anchor="ctr" anchorCtr="1"/>
        <a:lstStyle/>
        <a:p>
          <a:pPr>
            <a:defRPr sz="1600" b="1" i="0" u="none" strike="noStrike" kern="1200" baseline="0">
              <a:solidFill>
                <a:srgbClr val="000000"/>
              </a:solidFill>
              <a:latin typeface="Arial"/>
              <a:ea typeface="Arial"/>
              <a:cs typeface="Arial"/>
            </a:defRPr>
          </a:pPr>
          <a:endParaRPr lang="en-US"/>
        </a:p>
      </c:txPr>
    </c:title>
    <c:autoTitleDeleted val="0"/>
    <c:plotArea>
      <c:layout>
        <c:manualLayout>
          <c:layoutTarget val="inner"/>
          <c:xMode val="edge"/>
          <c:yMode val="edge"/>
          <c:x val="0.205327413984462"/>
          <c:y val="0.11745513866231599"/>
          <c:w val="0.57713651498335095"/>
          <c:h val="0.84828711256117495"/>
        </c:manualLayout>
      </c:layout>
      <c:pieChart>
        <c:varyColors val="1"/>
        <c:ser>
          <c:idx val="0"/>
          <c:order val="0"/>
          <c:dPt>
            <c:idx val="0"/>
            <c:bubble3D val="0"/>
            <c:spPr>
              <a:solidFill>
                <a:schemeClr val="accent5">
                  <a:tint val="50000"/>
                </a:schemeClr>
              </a:solidFill>
              <a:ln>
                <a:noFill/>
              </a:ln>
              <a:effectLst/>
            </c:spPr>
            <c:extLst>
              <c:ext xmlns:c16="http://schemas.microsoft.com/office/drawing/2014/chart" uri="{C3380CC4-5D6E-409C-BE32-E72D297353CC}">
                <c16:uniqueId val="{00000001-ECC5-4C77-9D76-8567E15AE3C4}"/>
              </c:ext>
            </c:extLst>
          </c:dPt>
          <c:dPt>
            <c:idx val="1"/>
            <c:bubble3D val="0"/>
            <c:spPr>
              <a:solidFill>
                <a:schemeClr val="accent5">
                  <a:tint val="70000"/>
                </a:schemeClr>
              </a:solidFill>
              <a:ln>
                <a:noFill/>
              </a:ln>
              <a:effectLst/>
            </c:spPr>
            <c:extLst>
              <c:ext xmlns:c16="http://schemas.microsoft.com/office/drawing/2014/chart" uri="{C3380CC4-5D6E-409C-BE32-E72D297353CC}">
                <c16:uniqueId val="{00000003-ECC5-4C77-9D76-8567E15AE3C4}"/>
              </c:ext>
            </c:extLst>
          </c:dPt>
          <c:dPt>
            <c:idx val="2"/>
            <c:bubble3D val="0"/>
            <c:spPr>
              <a:solidFill>
                <a:schemeClr val="accent5">
                  <a:tint val="90000"/>
                </a:schemeClr>
              </a:solidFill>
              <a:ln>
                <a:noFill/>
              </a:ln>
              <a:effectLst/>
            </c:spPr>
            <c:extLst>
              <c:ext xmlns:c16="http://schemas.microsoft.com/office/drawing/2014/chart" uri="{C3380CC4-5D6E-409C-BE32-E72D297353CC}">
                <c16:uniqueId val="{00000005-ECC5-4C77-9D76-8567E15AE3C4}"/>
              </c:ext>
            </c:extLst>
          </c:dPt>
          <c:dPt>
            <c:idx val="3"/>
            <c:bubble3D val="0"/>
            <c:spPr>
              <a:solidFill>
                <a:schemeClr val="accent5">
                  <a:shade val="90000"/>
                </a:schemeClr>
              </a:solidFill>
              <a:ln>
                <a:noFill/>
              </a:ln>
              <a:effectLst/>
            </c:spPr>
            <c:extLst>
              <c:ext xmlns:c16="http://schemas.microsoft.com/office/drawing/2014/chart" uri="{C3380CC4-5D6E-409C-BE32-E72D297353CC}">
                <c16:uniqueId val="{00000007-ECC5-4C77-9D76-8567E15AE3C4}"/>
              </c:ext>
            </c:extLst>
          </c:dPt>
          <c:dPt>
            <c:idx val="4"/>
            <c:bubble3D val="0"/>
            <c:spPr>
              <a:solidFill>
                <a:schemeClr val="accent5">
                  <a:shade val="70000"/>
                </a:schemeClr>
              </a:solidFill>
              <a:ln>
                <a:noFill/>
              </a:ln>
              <a:effectLst/>
            </c:spPr>
            <c:extLst>
              <c:ext xmlns:c16="http://schemas.microsoft.com/office/drawing/2014/chart" uri="{C3380CC4-5D6E-409C-BE32-E72D297353CC}">
                <c16:uniqueId val="{00000009-ECC5-4C77-9D76-8567E15AE3C4}"/>
              </c:ext>
            </c:extLst>
          </c:dPt>
          <c:dPt>
            <c:idx val="5"/>
            <c:bubble3D val="0"/>
            <c:spPr>
              <a:solidFill>
                <a:schemeClr val="accent5">
                  <a:shade val="50000"/>
                </a:schemeClr>
              </a:solidFill>
              <a:ln>
                <a:noFill/>
              </a:ln>
              <a:effectLst/>
            </c:spPr>
            <c:extLst>
              <c:ext xmlns:c16="http://schemas.microsoft.com/office/drawing/2014/chart" uri="{C3380CC4-5D6E-409C-BE32-E72D297353CC}">
                <c16:uniqueId val="{0000000B-ECC5-4C77-9D76-8567E15AE3C4}"/>
              </c:ext>
            </c:extLst>
          </c:dPt>
          <c:dPt>
            <c:idx val="6"/>
            <c:bubble3D val="0"/>
            <c:spPr>
              <a:solidFill>
                <a:schemeClr val="accent5">
                  <a:shade val="50000"/>
                </a:schemeClr>
              </a:solidFill>
              <a:ln>
                <a:noFill/>
              </a:ln>
              <a:effectLst/>
            </c:spPr>
            <c:extLst>
              <c:ext xmlns:c16="http://schemas.microsoft.com/office/drawing/2014/chart" uri="{C3380CC4-5D6E-409C-BE32-E72D297353CC}">
                <c16:uniqueId val="{0000000D-ECC5-4C77-9D76-8567E15AE3C4}"/>
              </c:ext>
            </c:extLst>
          </c:dPt>
          <c:dPt>
            <c:idx val="7"/>
            <c:bubble3D val="0"/>
            <c:spPr>
              <a:solidFill>
                <a:schemeClr val="accent5">
                  <a:shade val="50000"/>
                </a:schemeClr>
              </a:solidFill>
              <a:ln>
                <a:noFill/>
              </a:ln>
              <a:effectLst/>
            </c:spPr>
            <c:extLst>
              <c:ext xmlns:c16="http://schemas.microsoft.com/office/drawing/2014/chart" uri="{C3380CC4-5D6E-409C-BE32-E72D297353CC}">
                <c16:uniqueId val="{0000000F-ECC5-4C77-9D76-8567E15AE3C4}"/>
              </c:ext>
            </c:extLst>
          </c:dPt>
          <c:dLbls>
            <c:numFmt formatCode="0%" sourceLinked="0"/>
            <c:spPr>
              <a:noFill/>
              <a:ln w="25400">
                <a:noFill/>
              </a:ln>
              <a:effectLst/>
            </c:spPr>
            <c:txPr>
              <a:bodyPr rot="0" spcFirstLastPara="1" vertOverflow="ellipsis" vert="horz" wrap="square" anchor="ctr" anchorCtr="1"/>
              <a:lstStyle/>
              <a:p>
                <a:pPr>
                  <a:defRPr sz="1200" b="1" i="0" u="none" strike="noStrike" kern="1200" baseline="0">
                    <a:solidFill>
                      <a:srgbClr val="000000"/>
                    </a:solidFill>
                    <a:latin typeface="Arial"/>
                    <a:ea typeface="Arial"/>
                    <a:cs typeface="Arial"/>
                  </a:defRPr>
                </a:pPr>
                <a:endParaRPr lang="en-US"/>
              </a:p>
            </c:txPr>
            <c:dLblPos val="inEnd"/>
            <c:showLegendKey val="0"/>
            <c:showVal val="0"/>
            <c:showCatName val="1"/>
            <c:showSerName val="0"/>
            <c:showPercent val="1"/>
            <c:showBubbleSize val="0"/>
            <c:showLeaderLines val="1"/>
            <c:leaderLines>
              <c:spPr>
                <a:ln w="9525" cap="flat" cmpd="sng" algn="ctr">
                  <a:solidFill>
                    <a:schemeClr val="tx1">
                      <a:shade val="95000"/>
                      <a:satMod val="105000"/>
                    </a:schemeClr>
                  </a:solidFill>
                  <a:prstDash val="solid"/>
                  <a:round/>
                </a:ln>
                <a:effectLst/>
              </c:spPr>
            </c:leaderLines>
            <c:extLst>
              <c:ext xmlns:c15="http://schemas.microsoft.com/office/drawing/2012/chart" uri="{CE6537A1-D6FC-4f65-9D91-7224C49458BB}"/>
            </c:extLst>
          </c:dLbls>
          <c:cat>
            <c:strRef>
              <c:f>(Inputs!$A$10,Inputs!$A$11:$A$13,Inputs!$A$14:$A$15,Inputs!$A$10,Inputs!$A$11:$A$13,Inputs!$A$14:$A$15)</c:f>
              <c:strCache>
                <c:ptCount val="12"/>
                <c:pt idx="0">
                  <c:v>MULTIFAM</c:v>
                </c:pt>
                <c:pt idx="1">
                  <c:v>NFR-Other</c:v>
                </c:pt>
                <c:pt idx="2">
                  <c:v>NFR-Owner Occupied</c:v>
                </c:pt>
                <c:pt idx="3">
                  <c:v>FARM</c:v>
                </c:pt>
                <c:pt idx="4">
                  <c:v>CLD-Other</c:v>
                </c:pt>
                <c:pt idx="5">
                  <c:v>CLD-Residential</c:v>
                </c:pt>
                <c:pt idx="6">
                  <c:v>MULTIFAM</c:v>
                </c:pt>
                <c:pt idx="7">
                  <c:v>NFR-Other</c:v>
                </c:pt>
                <c:pt idx="8">
                  <c:v>NFR-Owner Occupied</c:v>
                </c:pt>
                <c:pt idx="9">
                  <c:v>FARM</c:v>
                </c:pt>
                <c:pt idx="10">
                  <c:v>CLD-Other</c:v>
                </c:pt>
                <c:pt idx="11">
                  <c:v>CLD-Residential</c:v>
                </c:pt>
              </c:strCache>
            </c:strRef>
          </c:cat>
          <c:val>
            <c:numRef>
              <c:f>(Inputs!$B$10,Inputs!$B$11:$B$13,Inputs!$B$14:$B$15)</c:f>
              <c:numCache>
                <c:formatCode>#,##0</c:formatCode>
                <c:ptCount val="6"/>
                <c:pt idx="0">
                  <c:v>57296</c:v>
                </c:pt>
                <c:pt idx="1">
                  <c:v>143979</c:v>
                </c:pt>
                <c:pt idx="2">
                  <c:v>178590</c:v>
                </c:pt>
                <c:pt idx="3">
                  <c:v>0</c:v>
                </c:pt>
                <c:pt idx="4">
                  <c:v>36299</c:v>
                </c:pt>
                <c:pt idx="5">
                  <c:v>7875</c:v>
                </c:pt>
              </c:numCache>
            </c:numRef>
          </c:val>
          <c:extLst>
            <c:ext xmlns:c16="http://schemas.microsoft.com/office/drawing/2014/chart" uri="{C3380CC4-5D6E-409C-BE32-E72D297353CC}">
              <c16:uniqueId val="{00000010-ECC5-4C77-9D76-8567E15AE3C4}"/>
            </c:ext>
          </c:extLst>
        </c:ser>
        <c:dLbls>
          <c:showLegendKey val="0"/>
          <c:showVal val="0"/>
          <c:showCatName val="0"/>
          <c:showSerName val="0"/>
          <c:showPercent val="0"/>
          <c:showBubbleSize val="0"/>
          <c:showLeaderLines val="1"/>
        </c:dLbls>
        <c:firstSliceAng val="0"/>
      </c:pieChart>
      <c:spPr>
        <a:noFill/>
        <a:ln w="25400">
          <a:noFill/>
        </a:ln>
        <a:effectLst/>
      </c:spPr>
    </c:plotArea>
    <c:plotVisOnly val="1"/>
    <c:dispBlanksAs val="zero"/>
    <c:showDLblsOverMax val="0"/>
  </c:chart>
  <c:spPr>
    <a:noFill/>
    <a:ln w="9525" cap="flat" cmpd="sng" algn="ctr">
      <a:noFill/>
      <a:prstDash val="solid"/>
      <a:round/>
    </a:ln>
    <a:effectLst/>
  </c:spPr>
  <c:txPr>
    <a:bodyPr/>
    <a:lstStyle/>
    <a:p>
      <a:pPr>
        <a:defRPr sz="1000" b="0" i="0" u="none" strike="noStrike" baseline="0">
          <a:solidFill>
            <a:srgbClr val="000000"/>
          </a:solidFill>
          <a:latin typeface="Arial"/>
          <a:ea typeface="Arial"/>
          <a:cs typeface="Arial"/>
        </a:defRPr>
      </a:pPr>
      <a:endParaRPr lang="en-US"/>
    </a:p>
  </c:txPr>
</c:chartSpace>
</file>

<file path=xl/charts/colors1.xml><?xml version="1.0" encoding="utf-8"?>
<cs:colorStyle xmlns:cs="http://schemas.microsoft.com/office/drawing/2012/chartStyle" xmlns:a="http://schemas.openxmlformats.org/drawingml/2006/main" meth="withinLinearReversed" id="21">
  <a:schemeClr val="accent1"/>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withinLinear" id="17">
  <a:schemeClr val="accent4"/>
</cs:colorStyle>
</file>

<file path=xl/charts/colors4.xml><?xml version="1.0" encoding="utf-8"?>
<cs:colorStyle xmlns:cs="http://schemas.microsoft.com/office/drawing/2012/chartStyle" xmlns:a="http://schemas.openxmlformats.org/drawingml/2006/main" meth="withinLinear" id="16">
  <a:schemeClr val="accent3"/>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withinLinear" id="14">
  <a:schemeClr val="accent1"/>
</cs:colorStyle>
</file>

<file path=xl/charts/colors7.xml><?xml version="1.0" encoding="utf-8"?>
<cs:colorStyle xmlns:cs="http://schemas.microsoft.com/office/drawing/2012/chartStyle" xmlns:a="http://schemas.openxmlformats.org/drawingml/2006/main" meth="withinLinear" id="15">
  <a:schemeClr val="accent2"/>
</cs:colorStyle>
</file>

<file path=xl/charts/colors8.xml><?xml version="1.0" encoding="utf-8"?>
<cs:colorStyle xmlns:cs="http://schemas.microsoft.com/office/drawing/2012/chartStyle" xmlns:a="http://schemas.openxmlformats.org/drawingml/2006/main" meth="withinLinearReversed" id="25">
  <a:schemeClr val="accent5"/>
</cs:colorStyle>
</file>

<file path=xl/charts/style1.xml><?xml version="1.0" encoding="utf-8"?>
<cs:chartStyle xmlns:cs="http://schemas.microsoft.com/office/drawing/2012/chartStyle" xmlns:a="http://schemas.openxmlformats.org/drawingml/2006/main" id="253">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dataLabel>
  <cs:dataLabelCallout>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2.xml><?xml version="1.0" encoding="utf-8"?>
<cs:chartStyle xmlns:cs="http://schemas.microsoft.com/office/drawing/2012/chartStyle" xmlns:a="http://schemas.openxmlformats.org/drawingml/2006/main" id="204">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defRPr sz="900" kern="1200">
      <a:effectLst/>
    </cs:defRPr>
  </cs:categoryAxis>
  <cs:chartArea>
    <cs:lnRef idx="0"/>
    <cs:fillRef idx="0"/>
    <cs:effectRef idx="0"/>
    <cs:fontRef idx="minor">
      <a:schemeClr val="dk1"/>
    </cs:fontRef>
    <cs:spPr>
      <a:gradFill flip="none" rotWithShape="1">
        <a:gsLst>
          <a:gs pos="0">
            <a:schemeClr val="lt1"/>
          </a:gs>
          <a:gs pos="68000">
            <a:schemeClr val="lt1">
              <a:lumMod val="85000"/>
            </a:schemeClr>
          </a:gs>
          <a:gs pos="100000">
            <a:schemeClr val="lt1"/>
          </a:gs>
        </a:gsLst>
        <a:lin ang="5400000" scaled="1"/>
        <a:tileRect/>
      </a:gradFill>
      <a:ln w="9525" cap="flat" cmpd="sng" algn="ctr">
        <a:solidFill>
          <a:schemeClr val="dk1">
            <a:lumMod val="15000"/>
            <a:lumOff val="85000"/>
          </a:schemeClr>
        </a:solidFill>
        <a:round/>
      </a:ln>
    </cs:spPr>
    <cs:defRPr sz="1000" kern="1200"/>
  </cs:chartArea>
  <cs:dataLabel>
    <cs:lnRef idx="0"/>
    <cs:fillRef idx="0"/>
    <cs:effectRef idx="0"/>
    <cs:fontRef idx="minor">
      <a:schemeClr val="lt1"/>
    </cs:fontRef>
    <cs:spPr/>
    <cs:defRPr sz="10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1000" b="1" kern="1200"/>
    <cs:bodyPr rot="0" spcFirstLastPara="1" vertOverflow="clip" horzOverflow="clip" vert="horz" wrap="square" lIns="36576" tIns="18288" rIns="36576" bIns="18288" anchor="ctr" anchorCtr="1">
      <a:spAutoFit/>
    </cs:bodyPr>
  </cs:dataLabelCallout>
  <cs:dataPoint>
    <cs:lnRef idx="0">
      <cs:styleClr val="auto"/>
    </cs:lnRef>
    <cs:fillRef idx="0">
      <cs:styleClr val="auto"/>
    </cs:fillRef>
    <cs:effectRef idx="0"/>
    <cs:fontRef idx="minor">
      <a:schemeClr val="dk1"/>
    </cs:fontRef>
    <cs:spPr>
      <a:gradFill>
        <a:gsLst>
          <a:gs pos="0">
            <a:schemeClr val="phClr"/>
          </a:gs>
          <a:gs pos="100000">
            <a:schemeClr val="phClr">
              <a:lumMod val="84000"/>
            </a:schemeClr>
          </a:gs>
        </a:gsLst>
        <a:lin ang="5400000" scaled="1"/>
      </a:gradFill>
      <a:effectLst>
        <a:outerShdw blurRad="76200" dir="18900000" sy="23000" kx="-1200000" algn="bl" rotWithShape="0">
          <a:prstClr val="black">
            <a:alpha val="20000"/>
          </a:prstClr>
        </a:outerShdw>
      </a:effectLst>
    </cs:spPr>
  </cs:dataPoint>
  <cs:dataPoint3D>
    <cs:lnRef idx="0"/>
    <cs:fillRef idx="0">
      <cs:styleClr val="auto"/>
    </cs:fillRef>
    <cs:effectRef idx="0"/>
    <cs:fontRef idx="minor">
      <a:schemeClr val="dk1"/>
    </cs:fontRef>
    <cs:spPr>
      <a:gradFill>
        <a:gsLst>
          <a:gs pos="0">
            <a:schemeClr val="phClr"/>
          </a:gs>
          <a:gs pos="100000">
            <a:schemeClr val="phClr">
              <a:lumMod val="84000"/>
            </a:schemeClr>
          </a:gs>
        </a:gsLst>
        <a:lin ang="5400000" scaled="1"/>
      </a:gradFill>
      <a:effectLst>
        <a:outerShdw blurRad="76200" dir="18900000" sy="23000" kx="-1200000" algn="bl" rotWithShape="0">
          <a:prstClr val="black">
            <a:alpha val="20000"/>
          </a:prstClr>
        </a:outerShdw>
      </a:effectLst>
    </cs:spPr>
  </cs:dataPoint3D>
  <cs:dataPointLine>
    <cs:lnRef idx="0">
      <cs:styleClr val="auto"/>
    </cs:lnRef>
    <cs:fillRef idx="0"/>
    <cs:effectRef idx="0"/>
    <cs:fontRef idx="minor">
      <a:schemeClr val="dk1"/>
    </cs:fontRef>
    <cs:spPr>
      <a:ln w="28575" cap="rnd">
        <a:gradFill>
          <a:gsLst>
            <a:gs pos="0">
              <a:schemeClr val="phClr"/>
            </a:gs>
            <a:gs pos="100000">
              <a:schemeClr val="phClr">
                <a:lumMod val="84000"/>
              </a:schemeClr>
            </a:gs>
          </a:gsLst>
          <a:lin ang="5400000" scaled="1"/>
        </a:gradFill>
        <a:round/>
      </a:ln>
    </cs:spPr>
  </cs:dataPointLine>
  <cs:dataPointMarker>
    <cs:lnRef idx="0"/>
    <cs:fillRef idx="0">
      <cs:styleClr val="auto"/>
    </cs:fillRef>
    <cs:effectRef idx="0"/>
    <cs:fontRef idx="minor">
      <a:schemeClr val="dk1"/>
    </cs:fontRef>
    <cs:spPr>
      <a:gradFill>
        <a:gsLst>
          <a:gs pos="0">
            <a:schemeClr val="phClr"/>
          </a:gs>
          <a:gs pos="100000">
            <a:schemeClr val="phClr">
              <a:lumMod val="84000"/>
            </a:schemeClr>
          </a:gs>
        </a:gsLst>
        <a:lin ang="5400000" scaled="1"/>
      </a:gradFill>
      <a:effectLst>
        <a:outerShdw blurRad="76200" dir="18900000" sy="23000" kx="-1200000" algn="bl" rotWithShape="0">
          <a:prstClr val="black">
            <a:alpha val="20000"/>
          </a:prstClr>
        </a:outerShdw>
      </a:effectLst>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a:solidFill>
          <a:schemeClr val="dk1">
            <a:lumMod val="15000"/>
            <a:lumOff val="85000"/>
          </a:schemeClr>
        </a:solidFill>
      </a:ln>
    </cs:spPr>
    <cs:defRPr sz="900" kern="1200"/>
  </cs:dataTable>
  <cs:downBar>
    <cs:lnRef idx="0"/>
    <cs:fillRef idx="0"/>
    <cs:effectRef idx="0"/>
    <cs:fontRef idx="minor">
      <a:schemeClr val="dk1"/>
    </cs:fontRef>
    <cs:spPr>
      <a:solidFill>
        <a:schemeClr val="dk1">
          <a:lumMod val="35000"/>
          <a:lumOff val="65000"/>
        </a:schemeClr>
      </a:solidFill>
      <a:ln w="9525">
        <a:solidFill>
          <a:schemeClr val="dk1">
            <a:lumMod val="50000"/>
            <a:lumOff val="50000"/>
          </a:schemeClr>
        </a:solidFill>
      </a:ln>
    </cs:spPr>
  </cs:downBar>
  <cs:dropLine>
    <cs:lnRef idx="0"/>
    <cs:fillRef idx="0"/>
    <cs:effectRef idx="0"/>
    <cs:fontRef idx="minor">
      <a:schemeClr val="dk1"/>
    </cs:fontRef>
    <cs:spPr>
      <a:ln w="9525">
        <a:solidFill>
          <a:schemeClr val="dk1">
            <a:lumMod val="50000"/>
            <a:lumOff val="50000"/>
          </a:schemeClr>
        </a:solidFill>
        <a:round/>
      </a:ln>
    </cs:spPr>
  </cs:dropLine>
  <cs:errorBar>
    <cs:lnRef idx="0"/>
    <cs:fillRef idx="0"/>
    <cs:effectRef idx="0"/>
    <cs:fontRef idx="minor">
      <a:schemeClr val="dk1"/>
    </cs:fontRef>
    <cs:spPr>
      <a:ln w="9525">
        <a:solidFill>
          <a:schemeClr val="dk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a:solidFill>
          <a:schemeClr val="dk1">
            <a:lumMod val="5000"/>
            <a:lumOff val="95000"/>
          </a:schemeClr>
        </a:solidFill>
      </a:ln>
    </cs:spPr>
  </cs:gridlineMinor>
  <cs:hiLoLine>
    <cs:lnRef idx="0"/>
    <cs:fillRef idx="0"/>
    <cs:effectRef idx="0"/>
    <cs:fontRef idx="minor">
      <a:schemeClr val="dk1"/>
    </cs:fontRef>
    <cs:spPr>
      <a:ln w="9525">
        <a:solidFill>
          <a:schemeClr val="dk1">
            <a:lumMod val="50000"/>
            <a:lumOff val="50000"/>
          </a:schemeClr>
        </a:solidFill>
        <a:round/>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65000"/>
        <a:lumOff val="35000"/>
      </a:schemeClr>
    </cs:fontRef>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65000"/>
        <a:lumOff val="35000"/>
      </a:schemeClr>
    </cs:fontRef>
    <cs:defRPr kern="1200">
      <a:effectLst/>
    </cs:defRPr>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lumMod val="95000"/>
        </a:schemeClr>
      </a:solidFill>
      <a:ln w="9525">
        <a:solidFill>
          <a:schemeClr val="dk1">
            <a:lumMod val="15000"/>
            <a:lumOff val="85000"/>
          </a:schemeClr>
        </a:solidFill>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charts/style3.xml><?xml version="1.0" encoding="utf-8"?>
<cs:chartStyle xmlns:cs="http://schemas.microsoft.com/office/drawing/2012/chartStyle" xmlns:a="http://schemas.openxmlformats.org/drawingml/2006/main" id="204">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defRPr sz="900" kern="1200">
      <a:effectLst/>
    </cs:defRPr>
  </cs:categoryAxis>
  <cs:chartArea>
    <cs:lnRef idx="0"/>
    <cs:fillRef idx="0"/>
    <cs:effectRef idx="0"/>
    <cs:fontRef idx="minor">
      <a:schemeClr val="dk1"/>
    </cs:fontRef>
    <cs:spPr>
      <a:gradFill flip="none" rotWithShape="1">
        <a:gsLst>
          <a:gs pos="0">
            <a:schemeClr val="lt1"/>
          </a:gs>
          <a:gs pos="68000">
            <a:schemeClr val="lt1">
              <a:lumMod val="85000"/>
            </a:schemeClr>
          </a:gs>
          <a:gs pos="100000">
            <a:schemeClr val="lt1"/>
          </a:gs>
        </a:gsLst>
        <a:lin ang="5400000" scaled="1"/>
        <a:tileRect/>
      </a:gradFill>
      <a:ln w="9525" cap="flat" cmpd="sng" algn="ctr">
        <a:solidFill>
          <a:schemeClr val="dk1">
            <a:lumMod val="15000"/>
            <a:lumOff val="85000"/>
          </a:schemeClr>
        </a:solidFill>
        <a:round/>
      </a:ln>
    </cs:spPr>
    <cs:defRPr sz="1000" kern="1200"/>
  </cs:chartArea>
  <cs:dataLabel>
    <cs:lnRef idx="0"/>
    <cs:fillRef idx="0"/>
    <cs:effectRef idx="0"/>
    <cs:fontRef idx="minor">
      <a:schemeClr val="lt1"/>
    </cs:fontRef>
    <cs:spPr/>
    <cs:defRPr sz="10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1000" b="1" kern="1200"/>
    <cs:bodyPr rot="0" spcFirstLastPara="1" vertOverflow="clip" horzOverflow="clip" vert="horz" wrap="square" lIns="36576" tIns="18288" rIns="36576" bIns="18288" anchor="ctr" anchorCtr="1">
      <a:spAutoFit/>
    </cs:bodyPr>
  </cs:dataLabelCallout>
  <cs:dataPoint>
    <cs:lnRef idx="0">
      <cs:styleClr val="auto"/>
    </cs:lnRef>
    <cs:fillRef idx="0">
      <cs:styleClr val="auto"/>
    </cs:fillRef>
    <cs:effectRef idx="0"/>
    <cs:fontRef idx="minor">
      <a:schemeClr val="dk1"/>
    </cs:fontRef>
    <cs:spPr>
      <a:gradFill>
        <a:gsLst>
          <a:gs pos="0">
            <a:schemeClr val="phClr"/>
          </a:gs>
          <a:gs pos="100000">
            <a:schemeClr val="phClr">
              <a:lumMod val="84000"/>
            </a:schemeClr>
          </a:gs>
        </a:gsLst>
        <a:lin ang="5400000" scaled="1"/>
      </a:gradFill>
      <a:effectLst>
        <a:outerShdw blurRad="76200" dir="18900000" sy="23000" kx="-1200000" algn="bl" rotWithShape="0">
          <a:prstClr val="black">
            <a:alpha val="20000"/>
          </a:prstClr>
        </a:outerShdw>
      </a:effectLst>
    </cs:spPr>
  </cs:dataPoint>
  <cs:dataPoint3D>
    <cs:lnRef idx="0"/>
    <cs:fillRef idx="0">
      <cs:styleClr val="auto"/>
    </cs:fillRef>
    <cs:effectRef idx="0"/>
    <cs:fontRef idx="minor">
      <a:schemeClr val="dk1"/>
    </cs:fontRef>
    <cs:spPr>
      <a:gradFill>
        <a:gsLst>
          <a:gs pos="0">
            <a:schemeClr val="phClr"/>
          </a:gs>
          <a:gs pos="100000">
            <a:schemeClr val="phClr">
              <a:lumMod val="84000"/>
            </a:schemeClr>
          </a:gs>
        </a:gsLst>
        <a:lin ang="5400000" scaled="1"/>
      </a:gradFill>
      <a:effectLst>
        <a:outerShdw blurRad="76200" dir="18900000" sy="23000" kx="-1200000" algn="bl" rotWithShape="0">
          <a:prstClr val="black">
            <a:alpha val="20000"/>
          </a:prstClr>
        </a:outerShdw>
      </a:effectLst>
    </cs:spPr>
  </cs:dataPoint3D>
  <cs:dataPointLine>
    <cs:lnRef idx="0">
      <cs:styleClr val="auto"/>
    </cs:lnRef>
    <cs:fillRef idx="0"/>
    <cs:effectRef idx="0"/>
    <cs:fontRef idx="minor">
      <a:schemeClr val="dk1"/>
    </cs:fontRef>
    <cs:spPr>
      <a:ln w="28575" cap="rnd">
        <a:gradFill>
          <a:gsLst>
            <a:gs pos="0">
              <a:schemeClr val="phClr"/>
            </a:gs>
            <a:gs pos="100000">
              <a:schemeClr val="phClr">
                <a:lumMod val="84000"/>
              </a:schemeClr>
            </a:gs>
          </a:gsLst>
          <a:lin ang="5400000" scaled="1"/>
        </a:gradFill>
        <a:round/>
      </a:ln>
    </cs:spPr>
  </cs:dataPointLine>
  <cs:dataPointMarker>
    <cs:lnRef idx="0"/>
    <cs:fillRef idx="0">
      <cs:styleClr val="auto"/>
    </cs:fillRef>
    <cs:effectRef idx="0"/>
    <cs:fontRef idx="minor">
      <a:schemeClr val="dk1"/>
    </cs:fontRef>
    <cs:spPr>
      <a:gradFill>
        <a:gsLst>
          <a:gs pos="0">
            <a:schemeClr val="phClr"/>
          </a:gs>
          <a:gs pos="100000">
            <a:schemeClr val="phClr">
              <a:lumMod val="84000"/>
            </a:schemeClr>
          </a:gs>
        </a:gsLst>
        <a:lin ang="5400000" scaled="1"/>
      </a:gradFill>
      <a:effectLst>
        <a:outerShdw blurRad="76200" dir="18900000" sy="23000" kx="-1200000" algn="bl" rotWithShape="0">
          <a:prstClr val="black">
            <a:alpha val="20000"/>
          </a:prstClr>
        </a:outerShdw>
      </a:effectLst>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a:solidFill>
          <a:schemeClr val="dk1">
            <a:lumMod val="15000"/>
            <a:lumOff val="85000"/>
          </a:schemeClr>
        </a:solidFill>
      </a:ln>
    </cs:spPr>
    <cs:defRPr sz="900" kern="1200"/>
  </cs:dataTable>
  <cs:downBar>
    <cs:lnRef idx="0"/>
    <cs:fillRef idx="0"/>
    <cs:effectRef idx="0"/>
    <cs:fontRef idx="minor">
      <a:schemeClr val="dk1"/>
    </cs:fontRef>
    <cs:spPr>
      <a:solidFill>
        <a:schemeClr val="dk1">
          <a:lumMod val="35000"/>
          <a:lumOff val="65000"/>
        </a:schemeClr>
      </a:solidFill>
      <a:ln w="9525">
        <a:solidFill>
          <a:schemeClr val="dk1">
            <a:lumMod val="50000"/>
            <a:lumOff val="50000"/>
          </a:schemeClr>
        </a:solidFill>
      </a:ln>
    </cs:spPr>
  </cs:downBar>
  <cs:dropLine>
    <cs:lnRef idx="0"/>
    <cs:fillRef idx="0"/>
    <cs:effectRef idx="0"/>
    <cs:fontRef idx="minor">
      <a:schemeClr val="dk1"/>
    </cs:fontRef>
    <cs:spPr>
      <a:ln w="9525">
        <a:solidFill>
          <a:schemeClr val="dk1">
            <a:lumMod val="50000"/>
            <a:lumOff val="50000"/>
          </a:schemeClr>
        </a:solidFill>
        <a:round/>
      </a:ln>
    </cs:spPr>
  </cs:dropLine>
  <cs:errorBar>
    <cs:lnRef idx="0"/>
    <cs:fillRef idx="0"/>
    <cs:effectRef idx="0"/>
    <cs:fontRef idx="minor">
      <a:schemeClr val="dk1"/>
    </cs:fontRef>
    <cs:spPr>
      <a:ln w="9525">
        <a:solidFill>
          <a:schemeClr val="dk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a:solidFill>
          <a:schemeClr val="dk1">
            <a:lumMod val="5000"/>
            <a:lumOff val="95000"/>
          </a:schemeClr>
        </a:solidFill>
      </a:ln>
    </cs:spPr>
  </cs:gridlineMinor>
  <cs:hiLoLine>
    <cs:lnRef idx="0"/>
    <cs:fillRef idx="0"/>
    <cs:effectRef idx="0"/>
    <cs:fontRef idx="minor">
      <a:schemeClr val="dk1"/>
    </cs:fontRef>
    <cs:spPr>
      <a:ln w="9525">
        <a:solidFill>
          <a:schemeClr val="dk1">
            <a:lumMod val="50000"/>
            <a:lumOff val="50000"/>
          </a:schemeClr>
        </a:solidFill>
        <a:round/>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65000"/>
        <a:lumOff val="35000"/>
      </a:schemeClr>
    </cs:fontRef>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65000"/>
        <a:lumOff val="35000"/>
      </a:schemeClr>
    </cs:fontRef>
    <cs:defRPr kern="1200">
      <a:effectLst/>
    </cs:defRPr>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lumMod val="95000"/>
        </a:schemeClr>
      </a:solidFill>
      <a:ln w="9525">
        <a:solidFill>
          <a:schemeClr val="dk1">
            <a:lumMod val="15000"/>
            <a:lumOff val="85000"/>
          </a:schemeClr>
        </a:solidFill>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charts/style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4">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defRPr sz="900" kern="1200">
      <a:effectLst/>
    </cs:defRPr>
  </cs:categoryAxis>
  <cs:chartArea>
    <cs:lnRef idx="0"/>
    <cs:fillRef idx="0"/>
    <cs:effectRef idx="0"/>
    <cs:fontRef idx="minor">
      <a:schemeClr val="dk1"/>
    </cs:fontRef>
    <cs:spPr>
      <a:gradFill flip="none" rotWithShape="1">
        <a:gsLst>
          <a:gs pos="0">
            <a:schemeClr val="lt1"/>
          </a:gs>
          <a:gs pos="68000">
            <a:schemeClr val="lt1">
              <a:lumMod val="85000"/>
            </a:schemeClr>
          </a:gs>
          <a:gs pos="100000">
            <a:schemeClr val="lt1"/>
          </a:gs>
        </a:gsLst>
        <a:lin ang="5400000" scaled="1"/>
        <a:tileRect/>
      </a:gradFill>
      <a:ln w="9525" cap="flat" cmpd="sng" algn="ctr">
        <a:solidFill>
          <a:schemeClr val="dk1">
            <a:lumMod val="15000"/>
            <a:lumOff val="85000"/>
          </a:schemeClr>
        </a:solidFill>
        <a:round/>
      </a:ln>
    </cs:spPr>
    <cs:defRPr sz="1000" kern="1200"/>
  </cs:chartArea>
  <cs:dataLabel>
    <cs:lnRef idx="0"/>
    <cs:fillRef idx="0"/>
    <cs:effectRef idx="0"/>
    <cs:fontRef idx="minor">
      <a:schemeClr val="lt1"/>
    </cs:fontRef>
    <cs:spPr/>
    <cs:defRPr sz="10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1000" b="1" kern="1200"/>
    <cs:bodyPr rot="0" spcFirstLastPara="1" vertOverflow="clip" horzOverflow="clip" vert="horz" wrap="square" lIns="36576" tIns="18288" rIns="36576" bIns="18288" anchor="ctr" anchorCtr="1">
      <a:spAutoFit/>
    </cs:bodyPr>
  </cs:dataLabelCallout>
  <cs:dataPoint>
    <cs:lnRef idx="0">
      <cs:styleClr val="auto"/>
    </cs:lnRef>
    <cs:fillRef idx="0">
      <cs:styleClr val="auto"/>
    </cs:fillRef>
    <cs:effectRef idx="0"/>
    <cs:fontRef idx="minor">
      <a:schemeClr val="dk1"/>
    </cs:fontRef>
    <cs:spPr>
      <a:gradFill>
        <a:gsLst>
          <a:gs pos="0">
            <a:schemeClr val="phClr"/>
          </a:gs>
          <a:gs pos="100000">
            <a:schemeClr val="phClr">
              <a:lumMod val="84000"/>
            </a:schemeClr>
          </a:gs>
        </a:gsLst>
        <a:lin ang="5400000" scaled="1"/>
      </a:gradFill>
      <a:effectLst>
        <a:outerShdw blurRad="76200" dir="18900000" sy="23000" kx="-1200000" algn="bl" rotWithShape="0">
          <a:prstClr val="black">
            <a:alpha val="20000"/>
          </a:prstClr>
        </a:outerShdw>
      </a:effectLst>
    </cs:spPr>
  </cs:dataPoint>
  <cs:dataPoint3D>
    <cs:lnRef idx="0"/>
    <cs:fillRef idx="0">
      <cs:styleClr val="auto"/>
    </cs:fillRef>
    <cs:effectRef idx="0"/>
    <cs:fontRef idx="minor">
      <a:schemeClr val="dk1"/>
    </cs:fontRef>
    <cs:spPr>
      <a:gradFill>
        <a:gsLst>
          <a:gs pos="0">
            <a:schemeClr val="phClr"/>
          </a:gs>
          <a:gs pos="100000">
            <a:schemeClr val="phClr">
              <a:lumMod val="84000"/>
            </a:schemeClr>
          </a:gs>
        </a:gsLst>
        <a:lin ang="5400000" scaled="1"/>
      </a:gradFill>
      <a:effectLst>
        <a:outerShdw blurRad="76200" dir="18900000" sy="23000" kx="-1200000" algn="bl" rotWithShape="0">
          <a:prstClr val="black">
            <a:alpha val="20000"/>
          </a:prstClr>
        </a:outerShdw>
      </a:effectLst>
    </cs:spPr>
  </cs:dataPoint3D>
  <cs:dataPointLine>
    <cs:lnRef idx="0">
      <cs:styleClr val="auto"/>
    </cs:lnRef>
    <cs:fillRef idx="0"/>
    <cs:effectRef idx="0"/>
    <cs:fontRef idx="minor">
      <a:schemeClr val="dk1"/>
    </cs:fontRef>
    <cs:spPr>
      <a:ln w="28575" cap="rnd">
        <a:gradFill>
          <a:gsLst>
            <a:gs pos="0">
              <a:schemeClr val="phClr"/>
            </a:gs>
            <a:gs pos="100000">
              <a:schemeClr val="phClr">
                <a:lumMod val="84000"/>
              </a:schemeClr>
            </a:gs>
          </a:gsLst>
          <a:lin ang="5400000" scaled="1"/>
        </a:gradFill>
        <a:round/>
      </a:ln>
    </cs:spPr>
  </cs:dataPointLine>
  <cs:dataPointMarker>
    <cs:lnRef idx="0"/>
    <cs:fillRef idx="0">
      <cs:styleClr val="auto"/>
    </cs:fillRef>
    <cs:effectRef idx="0"/>
    <cs:fontRef idx="minor">
      <a:schemeClr val="dk1"/>
    </cs:fontRef>
    <cs:spPr>
      <a:gradFill>
        <a:gsLst>
          <a:gs pos="0">
            <a:schemeClr val="phClr"/>
          </a:gs>
          <a:gs pos="100000">
            <a:schemeClr val="phClr">
              <a:lumMod val="84000"/>
            </a:schemeClr>
          </a:gs>
        </a:gsLst>
        <a:lin ang="5400000" scaled="1"/>
      </a:gradFill>
      <a:effectLst>
        <a:outerShdw blurRad="76200" dir="18900000" sy="23000" kx="-1200000" algn="bl" rotWithShape="0">
          <a:prstClr val="black">
            <a:alpha val="20000"/>
          </a:prstClr>
        </a:outerShdw>
      </a:effectLst>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a:solidFill>
          <a:schemeClr val="dk1">
            <a:lumMod val="15000"/>
            <a:lumOff val="85000"/>
          </a:schemeClr>
        </a:solidFill>
      </a:ln>
    </cs:spPr>
    <cs:defRPr sz="900" kern="1200"/>
  </cs:dataTable>
  <cs:downBar>
    <cs:lnRef idx="0"/>
    <cs:fillRef idx="0"/>
    <cs:effectRef idx="0"/>
    <cs:fontRef idx="minor">
      <a:schemeClr val="dk1"/>
    </cs:fontRef>
    <cs:spPr>
      <a:solidFill>
        <a:schemeClr val="dk1">
          <a:lumMod val="35000"/>
          <a:lumOff val="65000"/>
        </a:schemeClr>
      </a:solidFill>
      <a:ln w="9525">
        <a:solidFill>
          <a:schemeClr val="dk1">
            <a:lumMod val="50000"/>
            <a:lumOff val="50000"/>
          </a:schemeClr>
        </a:solidFill>
      </a:ln>
    </cs:spPr>
  </cs:downBar>
  <cs:dropLine>
    <cs:lnRef idx="0"/>
    <cs:fillRef idx="0"/>
    <cs:effectRef idx="0"/>
    <cs:fontRef idx="minor">
      <a:schemeClr val="dk1"/>
    </cs:fontRef>
    <cs:spPr>
      <a:ln w="9525">
        <a:solidFill>
          <a:schemeClr val="dk1">
            <a:lumMod val="50000"/>
            <a:lumOff val="50000"/>
          </a:schemeClr>
        </a:solidFill>
        <a:round/>
      </a:ln>
    </cs:spPr>
  </cs:dropLine>
  <cs:errorBar>
    <cs:lnRef idx="0"/>
    <cs:fillRef idx="0"/>
    <cs:effectRef idx="0"/>
    <cs:fontRef idx="minor">
      <a:schemeClr val="dk1"/>
    </cs:fontRef>
    <cs:spPr>
      <a:ln w="9525">
        <a:solidFill>
          <a:schemeClr val="dk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a:solidFill>
          <a:schemeClr val="dk1">
            <a:lumMod val="5000"/>
            <a:lumOff val="95000"/>
          </a:schemeClr>
        </a:solidFill>
      </a:ln>
    </cs:spPr>
  </cs:gridlineMinor>
  <cs:hiLoLine>
    <cs:lnRef idx="0"/>
    <cs:fillRef idx="0"/>
    <cs:effectRef idx="0"/>
    <cs:fontRef idx="minor">
      <a:schemeClr val="dk1"/>
    </cs:fontRef>
    <cs:spPr>
      <a:ln w="9525">
        <a:solidFill>
          <a:schemeClr val="dk1">
            <a:lumMod val="50000"/>
            <a:lumOff val="50000"/>
          </a:schemeClr>
        </a:solidFill>
        <a:round/>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65000"/>
        <a:lumOff val="35000"/>
      </a:schemeClr>
    </cs:fontRef>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65000"/>
        <a:lumOff val="35000"/>
      </a:schemeClr>
    </cs:fontRef>
    <cs:defRPr kern="1200">
      <a:effectLst/>
    </cs:defRPr>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lumMod val="95000"/>
        </a:schemeClr>
      </a:solidFill>
      <a:ln w="9525">
        <a:solidFill>
          <a:schemeClr val="dk1">
            <a:lumMod val="15000"/>
            <a:lumOff val="85000"/>
          </a:schemeClr>
        </a:solidFill>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charts/style6.xml><?xml version="1.0" encoding="utf-8"?>
<cs:chartStyle xmlns:cs="http://schemas.microsoft.com/office/drawing/2012/chartStyle" xmlns:a="http://schemas.openxmlformats.org/drawingml/2006/main" id="208">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ap="none" spc="0" normalizeH="0" baseline="0"/>
  </cs:categoryAxis>
  <cs:chartArea>
    <cs:lnRef idx="0"/>
    <cs:fillRef idx="0"/>
    <cs:effectRef idx="0"/>
    <cs:fontRef idx="minor">
      <a:schemeClr val="dk1"/>
    </cs:fontRef>
    <cs:spPr>
      <a:solidFill>
        <a:schemeClr val="lt1"/>
      </a:solid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spPr>
      <a:pattFill prst="ltDnDiag">
        <a:fgClr>
          <a:schemeClr val="dk1">
            <a:lumMod val="15000"/>
            <a:lumOff val="85000"/>
          </a:schemeClr>
        </a:fgClr>
        <a:bgClr>
          <a:schemeClr val="lt1"/>
        </a:bgClr>
      </a:pattFill>
    </cs:spPr>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defRPr sz="900" kern="1200"/>
  </cs:legend>
  <cs:plotArea>
    <cs:lnRef idx="0"/>
    <cs:fillRef idx="0"/>
    <cs:effectRef idx="0"/>
    <cs:fontRef idx="minor">
      <a:schemeClr val="dk1"/>
    </cs:fontRef>
    <cs:spPr>
      <a:pattFill prst="ltDnDiag">
        <a:fgClr>
          <a:schemeClr val="dk1">
            <a:lumMod val="15000"/>
            <a:lumOff val="85000"/>
          </a:schemeClr>
        </a:fgClr>
        <a:bgClr>
          <a:schemeClr val="lt1"/>
        </a:bgClr>
      </a:pattFill>
    </cs:spPr>
  </cs:plotArea>
  <cs:plotArea3D>
    <cs:lnRef idx="0"/>
    <cs:fillRef idx="0"/>
    <cs:effectRef idx="0"/>
    <cs:fontRef idx="minor">
      <a:schemeClr val="dk1"/>
    </cs:fontRef>
    <cs:spPr>
      <a:solidFill>
        <a:schemeClr val="lt1"/>
      </a:solidFill>
    </cs:spPr>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cap="none"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spPr>
      <a:pattFill prst="ltDnDiag">
        <a:fgClr>
          <a:schemeClr val="dk1">
            <a:lumMod val="15000"/>
            <a:lumOff val="85000"/>
          </a:schemeClr>
        </a:fgClr>
        <a:bgClr>
          <a:schemeClr val="lt1"/>
        </a:bgClr>
      </a:pattFill>
    </cs:spPr>
  </cs:wall>
</cs:chartStyle>
</file>

<file path=xl/charts/style7.xml><?xml version="1.0" encoding="utf-8"?>
<cs:chartStyle xmlns:cs="http://schemas.microsoft.com/office/drawing/2012/chartStyle" xmlns:a="http://schemas.openxmlformats.org/drawingml/2006/main" id="208">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ap="none" spc="0" normalizeH="0" baseline="0"/>
  </cs:categoryAxis>
  <cs:chartArea>
    <cs:lnRef idx="0"/>
    <cs:fillRef idx="0"/>
    <cs:effectRef idx="0"/>
    <cs:fontRef idx="minor">
      <a:schemeClr val="dk1"/>
    </cs:fontRef>
    <cs:spPr>
      <a:solidFill>
        <a:schemeClr val="lt1"/>
      </a:solid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spPr>
      <a:pattFill prst="ltDnDiag">
        <a:fgClr>
          <a:schemeClr val="dk1">
            <a:lumMod val="15000"/>
            <a:lumOff val="85000"/>
          </a:schemeClr>
        </a:fgClr>
        <a:bgClr>
          <a:schemeClr val="lt1"/>
        </a:bgClr>
      </a:pattFill>
    </cs:spPr>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defRPr sz="900" kern="1200"/>
  </cs:legend>
  <cs:plotArea>
    <cs:lnRef idx="0"/>
    <cs:fillRef idx="0"/>
    <cs:effectRef idx="0"/>
    <cs:fontRef idx="minor">
      <a:schemeClr val="dk1"/>
    </cs:fontRef>
    <cs:spPr>
      <a:pattFill prst="ltDnDiag">
        <a:fgClr>
          <a:schemeClr val="dk1">
            <a:lumMod val="15000"/>
            <a:lumOff val="85000"/>
          </a:schemeClr>
        </a:fgClr>
        <a:bgClr>
          <a:schemeClr val="lt1"/>
        </a:bgClr>
      </a:pattFill>
    </cs:spPr>
  </cs:plotArea>
  <cs:plotArea3D>
    <cs:lnRef idx="0"/>
    <cs:fillRef idx="0"/>
    <cs:effectRef idx="0"/>
    <cs:fontRef idx="minor">
      <a:schemeClr val="dk1"/>
    </cs:fontRef>
    <cs:spPr>
      <a:solidFill>
        <a:schemeClr val="lt1"/>
      </a:solidFill>
    </cs:spPr>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cap="none"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spPr>
      <a:pattFill prst="ltDnDiag">
        <a:fgClr>
          <a:schemeClr val="dk1">
            <a:lumMod val="15000"/>
            <a:lumOff val="85000"/>
          </a:schemeClr>
        </a:fgClr>
        <a:bgClr>
          <a:schemeClr val="lt1"/>
        </a:bgClr>
      </a:pattFill>
    </cs:spPr>
  </cs:wall>
</cs:chartStyle>
</file>

<file path=xl/charts/style8.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heets/_rels/sheet1.xml.rels><?xml version="1.0" encoding="UTF-8" standalone="yes"?>
<Relationships xmlns="http://schemas.openxmlformats.org/package/2006/relationships"><Relationship Id="rId1" Type="http://schemas.openxmlformats.org/officeDocument/2006/relationships/drawing" Target="../drawings/drawing2.xml"/></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4.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5.xml"/></Relationships>
</file>

<file path=xl/chartsheets/_rels/sheet5.xml.rels><?xml version="1.0" encoding="UTF-8" standalone="yes"?>
<Relationships xmlns="http://schemas.openxmlformats.org/package/2006/relationships"><Relationship Id="rId1" Type="http://schemas.openxmlformats.org/officeDocument/2006/relationships/drawing" Target="../drawings/drawing6.xml"/></Relationships>
</file>

<file path=xl/chartsheets/_rels/sheet6.xml.rels><?xml version="1.0" encoding="UTF-8" standalone="yes"?>
<Relationships xmlns="http://schemas.openxmlformats.org/package/2006/relationships"><Relationship Id="rId1" Type="http://schemas.openxmlformats.org/officeDocument/2006/relationships/drawing" Target="../drawings/drawing7.xml"/></Relationships>
</file>

<file path=xl/chartsheets/_rels/sheet7.xml.rels><?xml version="1.0" encoding="UTF-8" standalone="yes"?>
<Relationships xmlns="http://schemas.openxmlformats.org/package/2006/relationships"><Relationship Id="rId1" Type="http://schemas.openxmlformats.org/officeDocument/2006/relationships/drawing" Target="../drawings/drawing8.xml"/></Relationships>
</file>

<file path=xl/chartsheets/_rels/sheet8.xml.rels><?xml version="1.0" encoding="UTF-8" standalone="yes"?>
<Relationships xmlns="http://schemas.openxmlformats.org/package/2006/relationships"><Relationship Id="rId1" Type="http://schemas.openxmlformats.org/officeDocument/2006/relationships/drawing" Target="../drawings/drawing9.xml"/></Relationships>
</file>

<file path=xl/chartsheets/sheet1.xml><?xml version="1.0" encoding="utf-8"?>
<chartsheet xmlns="http://schemas.openxmlformats.org/spreadsheetml/2006/main" xmlns:r="http://schemas.openxmlformats.org/officeDocument/2006/relationships">
  <sheetPr codeName="Chart28"/>
  <sheetViews>
    <sheetView zoomScale="97" workbookViewId="0" zoomToFit="1"/>
  </sheetViews>
  <pageMargins left="0.75" right="0.75" top="1" bottom="1" header="0.5" footer="0.5"/>
  <pageSetup orientation="landscape"/>
  <headerFooter alignWithMargins="0"/>
  <drawing r:id="rId1"/>
</chartsheet>
</file>

<file path=xl/chartsheets/sheet2.xml><?xml version="1.0" encoding="utf-8"?>
<chartsheet xmlns="http://schemas.openxmlformats.org/spreadsheetml/2006/main" xmlns:r="http://schemas.openxmlformats.org/officeDocument/2006/relationships">
  <sheetPr codeName="Chart6"/>
  <sheetViews>
    <sheetView workbookViewId="0"/>
  </sheetViews>
  <pageMargins left="0.7" right="0.7" top="0.75" bottom="0.75" header="0.3" footer="0.3"/>
  <pageSetup orientation="landscape" r:id="rId1"/>
  <drawing r:id="rId2"/>
</chartsheet>
</file>

<file path=xl/chartsheets/sheet3.xml><?xml version="1.0" encoding="utf-8"?>
<chartsheet xmlns="http://schemas.openxmlformats.org/spreadsheetml/2006/main" xmlns:r="http://schemas.openxmlformats.org/officeDocument/2006/relationships">
  <sheetPr codeName="Chart23"/>
  <sheetViews>
    <sheetView workbookViewId="0"/>
  </sheetViews>
  <pageMargins left="0.75" right="0.75" top="1" bottom="1" header="0.5" footer="0.5"/>
  <pageSetup orientation="landscape"/>
  <headerFooter alignWithMargins="0"/>
  <drawing r:id="rId1"/>
</chartsheet>
</file>

<file path=xl/chartsheets/sheet4.xml><?xml version="1.0" encoding="utf-8"?>
<chartsheet xmlns="http://schemas.openxmlformats.org/spreadsheetml/2006/main" xmlns:r="http://schemas.openxmlformats.org/officeDocument/2006/relationships">
  <sheetPr codeName="Chart24"/>
  <sheetViews>
    <sheetView zoomScale="77" workbookViewId="0" zoomToFit="1"/>
  </sheetViews>
  <pageMargins left="0.75" right="0.75" top="1" bottom="1" header="0.5" footer="0.5"/>
  <pageSetup orientation="landscape"/>
  <headerFooter alignWithMargins="0"/>
  <drawing r:id="rId1"/>
</chartsheet>
</file>

<file path=xl/chartsheets/sheet5.xml><?xml version="1.0" encoding="utf-8"?>
<chartsheet xmlns="http://schemas.openxmlformats.org/spreadsheetml/2006/main" xmlns:r="http://schemas.openxmlformats.org/officeDocument/2006/relationships">
  <sheetPr codeName="Chart25"/>
  <sheetViews>
    <sheetView workbookViewId="0" zoomToFit="1"/>
  </sheetViews>
  <pageMargins left="0.75" right="0.75" top="1" bottom="1" header="0.5" footer="0.5"/>
  <pageSetup orientation="landscape"/>
  <headerFooter alignWithMargins="0"/>
  <drawing r:id="rId1"/>
</chartsheet>
</file>

<file path=xl/chartsheets/sheet6.xml><?xml version="1.0" encoding="utf-8"?>
<chartsheet xmlns="http://schemas.openxmlformats.org/spreadsheetml/2006/main" xmlns:r="http://schemas.openxmlformats.org/officeDocument/2006/relationships">
  <sheetPr codeName="Chart26"/>
  <sheetViews>
    <sheetView zoomScale="77" workbookViewId="0" zoomToFit="1"/>
  </sheetViews>
  <pageMargins left="0.75" right="0.75" top="1" bottom="1" header="0.5" footer="0.5"/>
  <pageSetup orientation="landscape"/>
  <headerFooter alignWithMargins="0"/>
  <drawing r:id="rId1"/>
</chartsheet>
</file>

<file path=xl/chartsheets/sheet7.xml><?xml version="1.0" encoding="utf-8"?>
<chartsheet xmlns="http://schemas.openxmlformats.org/spreadsheetml/2006/main" xmlns:r="http://schemas.openxmlformats.org/officeDocument/2006/relationships">
  <sheetPr codeName="Chart1"/>
  <sheetViews>
    <sheetView zoomScale="77" workbookViewId="0" zoomToFit="1"/>
  </sheetViews>
  <pageMargins left="0.75" right="0.75" top="1" bottom="1" header="0.5" footer="0.5"/>
  <pageSetup orientation="landscape"/>
  <headerFooter alignWithMargins="0"/>
  <drawing r:id="rId1"/>
</chartsheet>
</file>

<file path=xl/chartsheets/sheet8.xml><?xml version="1.0" encoding="utf-8"?>
<chartsheet xmlns="http://schemas.openxmlformats.org/spreadsheetml/2006/main" xmlns:r="http://schemas.openxmlformats.org/officeDocument/2006/relationships">
  <sheetPr codeName="Chart27"/>
  <sheetViews>
    <sheetView zoomScale="123" workbookViewId="0" zoomToFit="1"/>
  </sheetViews>
  <pageMargins left="0.75" right="0.75" top="1" bottom="1" header="0.5" footer="0.5"/>
  <pageSetup orientation="landscape"/>
  <headerFooter alignWithMargins="0"/>
  <drawing r:id="rId1"/>
</chartsheet>
</file>

<file path=xl/ctrlProps/ctrlProp1.xml><?xml version="1.0" encoding="utf-8"?>
<formControlPr xmlns="http://schemas.microsoft.com/office/spreadsheetml/2009/9/main" objectType="CheckBox" fmlaLink="$D$32" lockText="1" noThreeD="1"/>
</file>

<file path=xl/ctrlProps/ctrlProp2.xml><?xml version="1.0" encoding="utf-8"?>
<formControlPr xmlns="http://schemas.microsoft.com/office/spreadsheetml/2009/9/main" objectType="CheckBox" fmlaLink="$D$34" lockText="1" noThreeD="1"/>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7.xml.rels><?xml version="1.0" encoding="UTF-8" standalone="yes"?>
<Relationships xmlns="http://schemas.openxmlformats.org/package/2006/relationships"><Relationship Id="rId1" Type="http://schemas.openxmlformats.org/officeDocument/2006/relationships/chart" Target="../charts/chart6.xml"/></Relationships>
</file>

<file path=xl/drawings/_rels/drawing8.xml.rels><?xml version="1.0" encoding="UTF-8" standalone="yes"?>
<Relationships xmlns="http://schemas.openxmlformats.org/package/2006/relationships"><Relationship Id="rId1" Type="http://schemas.openxmlformats.org/officeDocument/2006/relationships/chart" Target="../charts/chart7.xml"/></Relationships>
</file>

<file path=xl/drawings/_rels/drawing9.xml.rels><?xml version="1.0" encoding="UTF-8" standalone="yes"?>
<Relationships xmlns="http://schemas.openxmlformats.org/package/2006/relationships"><Relationship Id="rId1"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57150</xdr:colOff>
          <xdr:row>30</xdr:row>
          <xdr:rowOff>152400</xdr:rowOff>
        </xdr:from>
        <xdr:to>
          <xdr:col>3</xdr:col>
          <xdr:colOff>1038225</xdr:colOff>
          <xdr:row>32</xdr:row>
          <xdr:rowOff>19050</xdr:rowOff>
        </xdr:to>
        <xdr:sp macro="" textlink="">
          <xdr:nvSpPr>
            <xdr:cNvPr id="20503" name="Check Box 23" hidden="1">
              <a:extLst>
                <a:ext uri="{63B3BB69-23CF-44E3-9099-C40C66FF867C}">
                  <a14:compatExt spid="_x0000_s20503"/>
                </a:ext>
                <a:ext uri="{FF2B5EF4-FFF2-40B4-BE49-F238E27FC236}">
                  <a16:creationId xmlns:a16="http://schemas.microsoft.com/office/drawing/2014/main" id="{00000000-0008-0000-0000-000017500000}"/>
                </a:ext>
              </a:extLst>
            </xdr:cNvPr>
            <xdr:cNvSpPr/>
          </xdr:nvSpPr>
          <xdr:spPr bwMode="auto">
            <a:xfrm>
              <a:off x="0" y="0"/>
              <a:ext cx="0" cy="0"/>
            </a:xfrm>
            <a:prstGeom prst="rect">
              <a:avLst/>
            </a:prstGeom>
            <a:solidFill>
              <a:srgbClr val="C0C0C0" mc:Ignorable="a14" a14:legacySpreadsheetColorIndex="22"/>
            </a:solidFill>
            <a:ln w="9525">
              <a:solidFill>
                <a:srgbClr val="000000"/>
              </a:solidFill>
              <a:miter lim="800000"/>
              <a:headEnd/>
              <a:tailEnd/>
            </a:ln>
          </xdr:spPr>
          <xdr:txBody>
            <a:bodyPr vertOverflow="clip" wrap="square" lIns="36576" tIns="27432" rIns="0" bIns="27432" anchor="ctr" upright="1"/>
            <a:lstStyle/>
            <a:p>
              <a:pPr algn="l" rtl="0">
                <a:defRPr sz="1000"/>
              </a:pPr>
              <a:r>
                <a:rPr lang="en-US" sz="800" b="0" i="0" u="none" strike="noStrike" baseline="0">
                  <a:solidFill>
                    <a:srgbClr val="000000"/>
                  </a:solidFill>
                  <a:latin typeface="Tahoma"/>
                  <a:ea typeface="Tahoma"/>
                  <a:cs typeface="Tahoma"/>
                </a:rPr>
                <a:t>These Securities gains are recurring</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32</xdr:row>
          <xdr:rowOff>104775</xdr:rowOff>
        </xdr:from>
        <xdr:to>
          <xdr:col>3</xdr:col>
          <xdr:colOff>1028700</xdr:colOff>
          <xdr:row>34</xdr:row>
          <xdr:rowOff>123825</xdr:rowOff>
        </xdr:to>
        <xdr:sp macro="" textlink="">
          <xdr:nvSpPr>
            <xdr:cNvPr id="20510" name="Check Box 30" hidden="1">
              <a:extLst>
                <a:ext uri="{63B3BB69-23CF-44E3-9099-C40C66FF867C}">
                  <a14:compatExt spid="_x0000_s20510"/>
                </a:ext>
                <a:ext uri="{FF2B5EF4-FFF2-40B4-BE49-F238E27FC236}">
                  <a16:creationId xmlns:a16="http://schemas.microsoft.com/office/drawing/2014/main" id="{00000000-0008-0000-0000-00001E500000}"/>
                </a:ext>
              </a:extLst>
            </xdr:cNvPr>
            <xdr:cNvSpPr/>
          </xdr:nvSpPr>
          <xdr:spPr bwMode="auto">
            <a:xfrm>
              <a:off x="0" y="0"/>
              <a:ext cx="0" cy="0"/>
            </a:xfrm>
            <a:prstGeom prst="rect">
              <a:avLst/>
            </a:prstGeom>
            <a:solidFill>
              <a:srgbClr val="C0C0C0" mc:Ignorable="a14" a14:legacySpreadsheetColorIndex="22"/>
            </a:solidFill>
            <a:ln w="9525">
              <a:solidFill>
                <a:srgbClr val="000000"/>
              </a:solidFill>
              <a:miter lim="800000"/>
              <a:headEnd/>
              <a:tailEnd/>
            </a:ln>
          </xdr:spPr>
          <xdr:txBody>
            <a:bodyPr vertOverflow="clip" wrap="square" lIns="36576" tIns="27432" rIns="0" bIns="27432" anchor="ctr" upright="1"/>
            <a:lstStyle/>
            <a:p>
              <a:pPr algn="l" rtl="0">
                <a:defRPr sz="1000"/>
              </a:pPr>
              <a:r>
                <a:rPr lang="en-US" sz="800" b="0" i="0" u="none" strike="noStrike" baseline="0">
                  <a:solidFill>
                    <a:srgbClr val="000000"/>
                  </a:solidFill>
                  <a:latin typeface="Tahoma"/>
                  <a:ea typeface="Tahoma"/>
                  <a:cs typeface="Tahoma"/>
                </a:rPr>
                <a:t>Dividends are fixed dollar amount each period as opposed to percent of income</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absoluteAnchor>
    <xdr:pos x="0" y="0"/>
    <xdr:ext cx="8582025" cy="5838825"/>
    <xdr:graphicFrame macro="">
      <xdr:nvGraphicFramePr>
        <xdr:cNvPr id="2" name="Chart 1">
          <a:extLst>
            <a:ext uri="{FF2B5EF4-FFF2-40B4-BE49-F238E27FC236}">
              <a16:creationId xmlns:a16="http://schemas.microsoft.com/office/drawing/2014/main" id="{00000000-0008-0000-04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xdr:wsDr xmlns:xdr="http://schemas.openxmlformats.org/drawingml/2006/spreadsheetDrawing" xmlns:a="http://schemas.openxmlformats.org/drawingml/2006/main">
  <xdr:absoluteAnchor>
    <xdr:pos x="0" y="0"/>
    <xdr:ext cx="8667750" cy="6296025"/>
    <xdr:graphicFrame macro="">
      <xdr:nvGraphicFramePr>
        <xdr:cNvPr id="2" name="Chart 1">
          <a:extLst>
            <a:ext uri="{FF2B5EF4-FFF2-40B4-BE49-F238E27FC236}">
              <a16:creationId xmlns:a16="http://schemas.microsoft.com/office/drawing/2014/main" id="{00000000-0008-0000-05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xdr:wsDr xmlns:xdr="http://schemas.openxmlformats.org/drawingml/2006/spreadsheetDrawing" xmlns:a="http://schemas.openxmlformats.org/drawingml/2006/main">
  <xdr:absoluteAnchor>
    <xdr:pos x="0" y="0"/>
    <xdr:ext cx="8582025" cy="5838825"/>
    <xdr:graphicFrame macro="">
      <xdr:nvGraphicFramePr>
        <xdr:cNvPr id="2" name="Chart 1">
          <a:extLst>
            <a:ext uri="{FF2B5EF4-FFF2-40B4-BE49-F238E27FC236}">
              <a16:creationId xmlns:a16="http://schemas.microsoft.com/office/drawing/2014/main" id="{00000000-0008-0000-06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xdr:wsDr xmlns:xdr="http://schemas.openxmlformats.org/drawingml/2006/spreadsheetDrawing" xmlns:a="http://schemas.openxmlformats.org/drawingml/2006/main">
  <xdr:absoluteAnchor>
    <xdr:pos x="0" y="0"/>
    <xdr:ext cx="8582025" cy="5838825"/>
    <xdr:graphicFrame macro="">
      <xdr:nvGraphicFramePr>
        <xdr:cNvPr id="2" name="Chart 1">
          <a:extLst>
            <a:ext uri="{FF2B5EF4-FFF2-40B4-BE49-F238E27FC236}">
              <a16:creationId xmlns:a16="http://schemas.microsoft.com/office/drawing/2014/main" id="{00000000-0008-0000-07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xdr:wsDr xmlns:xdr="http://schemas.openxmlformats.org/drawingml/2006/spreadsheetDrawing" xmlns:a="http://schemas.openxmlformats.org/drawingml/2006/main">
  <xdr:absoluteAnchor>
    <xdr:pos x="0" y="0"/>
    <xdr:ext cx="8582025" cy="5838825"/>
    <xdr:graphicFrame macro="">
      <xdr:nvGraphicFramePr>
        <xdr:cNvPr id="2" name="Chart 1">
          <a:extLst>
            <a:ext uri="{FF2B5EF4-FFF2-40B4-BE49-F238E27FC236}">
              <a16:creationId xmlns:a16="http://schemas.microsoft.com/office/drawing/2014/main" id="{00000000-0008-0000-08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xdr:wsDr xmlns:xdr="http://schemas.openxmlformats.org/drawingml/2006/spreadsheetDrawing" xmlns:a="http://schemas.openxmlformats.org/drawingml/2006/main">
  <xdr:absoluteAnchor>
    <xdr:pos x="0" y="0"/>
    <xdr:ext cx="8572500" cy="5826331"/>
    <xdr:graphicFrame macro="">
      <xdr:nvGraphicFramePr>
        <xdr:cNvPr id="2" name="Chart 1">
          <a:extLst>
            <a:ext uri="{FF2B5EF4-FFF2-40B4-BE49-F238E27FC236}">
              <a16:creationId xmlns:a16="http://schemas.microsoft.com/office/drawing/2014/main" id="{00000000-0008-0000-09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xdr:wsDr xmlns:xdr="http://schemas.openxmlformats.org/drawingml/2006/spreadsheetDrawing" xmlns:a="http://schemas.openxmlformats.org/drawingml/2006/main">
  <xdr:absoluteAnchor>
    <xdr:pos x="0" y="0"/>
    <xdr:ext cx="8572500" cy="5826331"/>
    <xdr:graphicFrame macro="">
      <xdr:nvGraphicFramePr>
        <xdr:cNvPr id="2" name="Chart 1">
          <a:extLst>
            <a:ext uri="{FF2B5EF4-FFF2-40B4-BE49-F238E27FC236}">
              <a16:creationId xmlns:a16="http://schemas.microsoft.com/office/drawing/2014/main" id="{00000000-0008-0000-0A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9.xml><?xml version="1.0" encoding="utf-8"?>
<xdr:wsDr xmlns:xdr="http://schemas.openxmlformats.org/drawingml/2006/spreadsheetDrawing" xmlns:a="http://schemas.openxmlformats.org/drawingml/2006/main">
  <xdr:absoluteAnchor>
    <xdr:pos x="0" y="0"/>
    <xdr:ext cx="8580244" cy="5838902"/>
    <xdr:graphicFrame macro="">
      <xdr:nvGraphicFramePr>
        <xdr:cNvPr id="2" name="Chart 1">
          <a:extLst>
            <a:ext uri="{FF2B5EF4-FFF2-40B4-BE49-F238E27FC236}">
              <a16:creationId xmlns:a16="http://schemas.microsoft.com/office/drawing/2014/main" id="{00000000-0008-0000-18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tyeager\Documents\OneDrive\Tim\Research\Stress\US\Simulations\Generate%20Your%20Community%20Bank%20Stress%20Test%20Results.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puts"/>
      <sheetName val="Results"/>
      <sheetName val="LossRates"/>
      <sheetName val="Cohort"/>
      <sheetName val="myBank"/>
      <sheetName val="DATA"/>
      <sheetName val="ProjectedLossRates"/>
      <sheetName val="Loan Share"/>
      <sheetName val="ROA"/>
      <sheetName val="ROE"/>
      <sheetName val="Capital"/>
      <sheetName val="Net Chargeoffs"/>
      <sheetName val="Chargeoffs by Loan Category"/>
      <sheetName val="Chargeoffs by CRE Category"/>
      <sheetName val="MULTIFAM"/>
      <sheetName val="NFR_OTHER"/>
      <sheetName val="NFR_OWN"/>
      <sheetName val="FARM"/>
      <sheetName val="CLD_OTHER"/>
      <sheetName val="CLD_RES"/>
      <sheetName val="Consumer"/>
      <sheetName val="Mortgage"/>
      <sheetName val="CI"/>
      <sheetName val="AG"/>
      <sheetName val="OTHERLOANS"/>
      <sheetName val="Securities"/>
      <sheetName val="FedFunds"/>
      <sheetName val="CRE Loan Share"/>
      <sheetName val="IntBearBalances"/>
    </sheetNames>
    <sheetDataSet>
      <sheetData sheetId="0">
        <row r="2">
          <cell r="A2" t="str">
            <v>my Community Bank</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autoPageBreaks="0" fitToPage="1"/>
  </sheetPr>
  <dimension ref="A1:Q40"/>
  <sheetViews>
    <sheetView tabSelected="1" workbookViewId="0">
      <selection activeCell="A4" sqref="A4"/>
    </sheetView>
  </sheetViews>
  <sheetFormatPr defaultColWidth="8.86328125" defaultRowHeight="12.75" x14ac:dyDescent="0.35"/>
  <cols>
    <col min="1" max="1" width="24.73046875" customWidth="1"/>
    <col min="2" max="2" width="20.3984375" customWidth="1"/>
    <col min="3" max="3" width="23" customWidth="1"/>
    <col min="4" max="4" width="23.86328125" customWidth="1"/>
    <col min="5" max="5" width="20.3984375" customWidth="1"/>
    <col min="6" max="6" width="15.3984375" customWidth="1"/>
    <col min="7" max="7" width="26.265625" bestFit="1" customWidth="1"/>
  </cols>
  <sheetData>
    <row r="1" spans="1:17" ht="56.25" customHeight="1" x14ac:dyDescent="0.35">
      <c r="A1" s="123" t="s">
        <v>115</v>
      </c>
      <c r="B1" s="123"/>
      <c r="C1" s="123"/>
      <c r="D1" s="123"/>
      <c r="J1" s="14"/>
      <c r="O1" s="14"/>
      <c r="P1" s="14"/>
      <c r="Q1" s="14"/>
    </row>
    <row r="2" spans="1:17" ht="17.649999999999999" x14ac:dyDescent="0.5">
      <c r="A2" s="124" t="s">
        <v>185</v>
      </c>
      <c r="B2" s="124"/>
      <c r="C2" s="124"/>
      <c r="D2" s="124"/>
      <c r="J2" s="14"/>
      <c r="K2" s="14"/>
    </row>
    <row r="3" spans="1:17" ht="13.15" x14ac:dyDescent="0.4">
      <c r="A3" s="125" t="s">
        <v>178</v>
      </c>
      <c r="B3" s="126"/>
      <c r="C3" s="125" t="s">
        <v>171</v>
      </c>
      <c r="D3" s="126"/>
      <c r="F3" s="14"/>
      <c r="G3" s="14"/>
      <c r="H3" s="14"/>
      <c r="I3" s="14"/>
    </row>
    <row r="4" spans="1:17" ht="13.15" x14ac:dyDescent="0.4">
      <c r="A4" s="27" t="s">
        <v>28</v>
      </c>
      <c r="B4" s="66">
        <v>2106</v>
      </c>
      <c r="C4" s="120" t="s">
        <v>184</v>
      </c>
      <c r="D4" s="118"/>
      <c r="F4" s="14"/>
      <c r="G4" s="14"/>
      <c r="H4" s="14"/>
      <c r="I4" s="14"/>
    </row>
    <row r="5" spans="1:17" ht="13.15" x14ac:dyDescent="0.4">
      <c r="A5" s="27" t="s">
        <v>29</v>
      </c>
      <c r="B5" s="66">
        <v>4</v>
      </c>
      <c r="C5" s="110"/>
      <c r="D5" s="111"/>
      <c r="F5" s="14"/>
      <c r="G5" s="14"/>
      <c r="H5" s="14"/>
      <c r="I5" s="14"/>
    </row>
    <row r="6" spans="1:17" ht="13.15" x14ac:dyDescent="0.4">
      <c r="A6" s="34" t="s">
        <v>93</v>
      </c>
      <c r="B6" s="114" t="s">
        <v>172</v>
      </c>
      <c r="C6" s="34" t="s">
        <v>173</v>
      </c>
      <c r="D6" s="34" t="s">
        <v>59</v>
      </c>
    </row>
    <row r="7" spans="1:17" ht="12.75" customHeight="1" x14ac:dyDescent="0.4">
      <c r="A7" s="67">
        <v>1</v>
      </c>
      <c r="B7" s="67" t="s">
        <v>94</v>
      </c>
      <c r="C7" s="117">
        <v>0.9</v>
      </c>
      <c r="D7" s="98">
        <v>0.03</v>
      </c>
    </row>
    <row r="8" spans="1:17" x14ac:dyDescent="0.35">
      <c r="A8" s="17" t="s">
        <v>72</v>
      </c>
    </row>
    <row r="9" spans="1:17" ht="13.15" x14ac:dyDescent="0.4">
      <c r="A9" s="33" t="s">
        <v>71</v>
      </c>
      <c r="B9" s="34" t="s">
        <v>47</v>
      </c>
      <c r="C9" s="35" t="s">
        <v>46</v>
      </c>
      <c r="D9" s="34" t="s">
        <v>106</v>
      </c>
    </row>
    <row r="10" spans="1:17" ht="13.15" x14ac:dyDescent="0.4">
      <c r="A10" s="64" t="s">
        <v>75</v>
      </c>
      <c r="B10" s="68">
        <v>57296</v>
      </c>
      <c r="C10" s="69">
        <v>3.5038705936050504E-2</v>
      </c>
      <c r="D10" s="70">
        <v>69</v>
      </c>
      <c r="E10" s="63"/>
    </row>
    <row r="11" spans="1:17" ht="13.15" x14ac:dyDescent="0.4">
      <c r="A11" s="64" t="s">
        <v>77</v>
      </c>
      <c r="B11" s="68">
        <v>143979</v>
      </c>
      <c r="C11" s="69">
        <v>3.5038705936050504E-2</v>
      </c>
      <c r="D11" s="70">
        <v>755</v>
      </c>
      <c r="E11" s="63"/>
    </row>
    <row r="12" spans="1:17" ht="13.15" x14ac:dyDescent="0.4">
      <c r="A12" s="64" t="s">
        <v>92</v>
      </c>
      <c r="B12" s="68">
        <v>178590</v>
      </c>
      <c r="C12" s="69">
        <v>3.5038705936050504E-2</v>
      </c>
      <c r="D12" s="70">
        <v>154</v>
      </c>
      <c r="E12" s="63"/>
    </row>
    <row r="13" spans="1:17" ht="13.15" x14ac:dyDescent="0.4">
      <c r="A13" s="64" t="s">
        <v>78</v>
      </c>
      <c r="B13" s="68">
        <v>0</v>
      </c>
      <c r="C13" s="69">
        <v>3.5038705936050504E-2</v>
      </c>
      <c r="D13" s="71">
        <v>0</v>
      </c>
      <c r="E13" s="63"/>
    </row>
    <row r="14" spans="1:17" ht="13.15" x14ac:dyDescent="0.4">
      <c r="A14" s="64" t="s">
        <v>79</v>
      </c>
      <c r="B14" s="68">
        <v>36299</v>
      </c>
      <c r="C14" s="69">
        <v>3.5038705936050504E-2</v>
      </c>
      <c r="D14" s="71">
        <v>113</v>
      </c>
      <c r="E14" s="63"/>
    </row>
    <row r="15" spans="1:17" ht="13.15" x14ac:dyDescent="0.4">
      <c r="A15" s="64" t="s">
        <v>80</v>
      </c>
      <c r="B15" s="68">
        <v>7875</v>
      </c>
      <c r="C15" s="69">
        <v>3.5038705936050504E-2</v>
      </c>
      <c r="D15" s="71">
        <v>33</v>
      </c>
      <c r="E15" s="63"/>
    </row>
    <row r="16" spans="1:17" ht="13.15" x14ac:dyDescent="0.4">
      <c r="A16" s="38"/>
      <c r="B16" s="39"/>
      <c r="C16" s="121"/>
      <c r="D16" s="122"/>
    </row>
    <row r="17" spans="1:6" ht="13.15" x14ac:dyDescent="0.4">
      <c r="A17" s="37" t="s">
        <v>48</v>
      </c>
      <c r="B17" s="34" t="s">
        <v>97</v>
      </c>
      <c r="C17" s="35" t="s">
        <v>46</v>
      </c>
      <c r="D17" s="34" t="s">
        <v>106</v>
      </c>
    </row>
    <row r="18" spans="1:6" ht="13.15" x14ac:dyDescent="0.4">
      <c r="A18" s="26" t="s">
        <v>39</v>
      </c>
      <c r="B18" s="68">
        <v>198888</v>
      </c>
      <c r="C18" s="72">
        <v>6.3262575605683005E-2</v>
      </c>
      <c r="D18" s="73">
        <v>1639</v>
      </c>
      <c r="E18" s="63"/>
    </row>
    <row r="19" spans="1:6" ht="13.15" x14ac:dyDescent="0.4">
      <c r="A19" s="26" t="s">
        <v>40</v>
      </c>
      <c r="B19" s="68">
        <v>233220</v>
      </c>
      <c r="C19" s="72">
        <v>2.7426518337877272E-2</v>
      </c>
      <c r="D19" s="73">
        <v>437</v>
      </c>
      <c r="E19" s="63"/>
    </row>
    <row r="20" spans="1:6" ht="13.15" x14ac:dyDescent="0.4">
      <c r="A20" s="26" t="s">
        <v>41</v>
      </c>
      <c r="B20" s="68">
        <v>70071</v>
      </c>
      <c r="C20" s="72">
        <v>2.9850536746490502E-2</v>
      </c>
      <c r="D20" s="73">
        <v>2</v>
      </c>
      <c r="E20" s="63"/>
    </row>
    <row r="21" spans="1:6" ht="13.15" x14ac:dyDescent="0.4">
      <c r="A21" s="26" t="s">
        <v>42</v>
      </c>
      <c r="B21" s="68">
        <v>0</v>
      </c>
      <c r="C21" s="72">
        <v>2.9850536746490502E-2</v>
      </c>
      <c r="D21" s="73">
        <v>0</v>
      </c>
      <c r="E21" s="63"/>
    </row>
    <row r="22" spans="1:6" ht="13.15" x14ac:dyDescent="0.4">
      <c r="A22" s="65" t="s">
        <v>95</v>
      </c>
      <c r="B22" s="68">
        <v>7453</v>
      </c>
      <c r="C22" s="72">
        <v>6.3262575605683005E-2</v>
      </c>
      <c r="D22" s="73">
        <v>0</v>
      </c>
      <c r="E22" s="63"/>
    </row>
    <row r="23" spans="1:6" ht="13.15" x14ac:dyDescent="0.4">
      <c r="A23" s="26" t="s">
        <v>13</v>
      </c>
      <c r="B23" s="68">
        <v>217572</v>
      </c>
      <c r="C23" s="72">
        <v>2.4441169527380568E-2</v>
      </c>
      <c r="D23" s="119"/>
      <c r="E23" s="63"/>
    </row>
    <row r="24" spans="1:6" ht="13.15" x14ac:dyDescent="0.4">
      <c r="A24" s="26" t="s">
        <v>43</v>
      </c>
      <c r="B24" s="68">
        <v>0</v>
      </c>
      <c r="C24" s="72">
        <v>2.9223744292237449E-4</v>
      </c>
      <c r="D24" s="119"/>
      <c r="E24" s="63"/>
    </row>
    <row r="25" spans="1:6" ht="13.15" x14ac:dyDescent="0.4">
      <c r="A25" s="26" t="s">
        <v>37</v>
      </c>
      <c r="B25" s="68">
        <v>6215</v>
      </c>
      <c r="C25" s="72">
        <v>1.538343204368895E-4</v>
      </c>
      <c r="D25" s="57"/>
      <c r="E25" s="63"/>
    </row>
    <row r="26" spans="1:6" x14ac:dyDescent="0.35">
      <c r="E26" s="50"/>
    </row>
    <row r="27" spans="1:6" ht="13.15" x14ac:dyDescent="0.4">
      <c r="A27" s="33" t="s">
        <v>50</v>
      </c>
      <c r="B27" s="34" t="s">
        <v>96</v>
      </c>
      <c r="E27" s="63"/>
      <c r="F27" s="63"/>
    </row>
    <row r="28" spans="1:6" ht="13.15" x14ac:dyDescent="0.4">
      <c r="A28" s="26" t="s">
        <v>44</v>
      </c>
      <c r="B28" s="68">
        <v>4789</v>
      </c>
    </row>
    <row r="29" spans="1:6" ht="13.15" x14ac:dyDescent="0.4">
      <c r="A29" s="26" t="s">
        <v>22</v>
      </c>
      <c r="B29" s="68">
        <v>35090</v>
      </c>
    </row>
    <row r="30" spans="1:6" ht="13.15" x14ac:dyDescent="0.4">
      <c r="A30" s="26" t="s">
        <v>21</v>
      </c>
      <c r="B30" s="68">
        <v>12999</v>
      </c>
    </row>
    <row r="31" spans="1:6" ht="13.15" x14ac:dyDescent="0.4">
      <c r="A31" s="65" t="s">
        <v>74</v>
      </c>
      <c r="B31" s="68">
        <v>3113</v>
      </c>
    </row>
    <row r="32" spans="1:6" ht="13.15" x14ac:dyDescent="0.4">
      <c r="A32" s="26" t="s">
        <v>49</v>
      </c>
      <c r="B32" s="68">
        <v>-5</v>
      </c>
      <c r="C32" s="2"/>
      <c r="D32" s="112" t="b">
        <v>0</v>
      </c>
    </row>
    <row r="33" spans="1:4" ht="13.15" x14ac:dyDescent="0.4">
      <c r="A33" s="26" t="s">
        <v>8</v>
      </c>
      <c r="B33" s="68">
        <v>3379</v>
      </c>
      <c r="D33" s="112"/>
    </row>
    <row r="34" spans="1:4" ht="13.15" x14ac:dyDescent="0.4">
      <c r="A34" s="26" t="s">
        <v>4</v>
      </c>
      <c r="B34" s="68">
        <v>5300</v>
      </c>
      <c r="C34" s="49"/>
      <c r="D34" s="112" t="b">
        <v>0</v>
      </c>
    </row>
    <row r="35" spans="1:4" ht="13.15" x14ac:dyDescent="0.4">
      <c r="A35" s="101" t="s">
        <v>73</v>
      </c>
      <c r="B35" s="68">
        <v>17416</v>
      </c>
    </row>
    <row r="36" spans="1:4" ht="13.15" x14ac:dyDescent="0.4">
      <c r="A36" s="26" t="s">
        <v>45</v>
      </c>
      <c r="B36" s="68">
        <v>1233733.5</v>
      </c>
    </row>
    <row r="37" spans="1:4" ht="13.15" x14ac:dyDescent="0.4">
      <c r="A37" s="36" t="s">
        <v>56</v>
      </c>
      <c r="B37" s="68">
        <v>95637</v>
      </c>
    </row>
    <row r="38" spans="1:4" ht="13.15" x14ac:dyDescent="0.4">
      <c r="A38" s="36" t="s">
        <v>57</v>
      </c>
      <c r="B38" s="68">
        <v>1106691</v>
      </c>
    </row>
    <row r="40" spans="1:4" x14ac:dyDescent="0.35">
      <c r="A40" s="97" t="s">
        <v>170</v>
      </c>
    </row>
  </sheetData>
  <mergeCells count="4">
    <mergeCell ref="A1:D1"/>
    <mergeCell ref="A2:D2"/>
    <mergeCell ref="C3:D3"/>
    <mergeCell ref="A3:B3"/>
  </mergeCells>
  <pageMargins left="0.75" right="0.75" top="1" bottom="1" header="0.5" footer="0.5"/>
  <pageSetup scale="98"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0503" r:id="rId4" name="Check Box 23">
              <controlPr defaultSize="0" autoFill="0" autoLine="0" autoPict="0">
                <anchor moveWithCells="1">
                  <from>
                    <xdr:col>2</xdr:col>
                    <xdr:colOff>57150</xdr:colOff>
                    <xdr:row>30</xdr:row>
                    <xdr:rowOff>152400</xdr:rowOff>
                  </from>
                  <to>
                    <xdr:col>3</xdr:col>
                    <xdr:colOff>1038225</xdr:colOff>
                    <xdr:row>32</xdr:row>
                    <xdr:rowOff>19050</xdr:rowOff>
                  </to>
                </anchor>
              </controlPr>
            </control>
          </mc:Choice>
        </mc:AlternateContent>
        <mc:AlternateContent xmlns:mc="http://schemas.openxmlformats.org/markup-compatibility/2006">
          <mc:Choice Requires="x14">
            <control shapeId="20510" r:id="rId5" name="Check Box 30">
              <controlPr defaultSize="0" autoFill="0" autoLine="0" autoPict="0">
                <anchor moveWithCells="1">
                  <from>
                    <xdr:col>2</xdr:col>
                    <xdr:colOff>47625</xdr:colOff>
                    <xdr:row>32</xdr:row>
                    <xdr:rowOff>104775</xdr:rowOff>
                  </from>
                  <to>
                    <xdr:col>3</xdr:col>
                    <xdr:colOff>1028700</xdr:colOff>
                    <xdr:row>34</xdr:row>
                    <xdr:rowOff>123825</xdr:rowOff>
                  </to>
                </anchor>
              </controlPr>
            </control>
          </mc:Choice>
        </mc:AlternateContent>
      </controls>
    </mc:Choice>
  </mc:AlternateContent>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25"/>
  <sheetViews>
    <sheetView workbookViewId="0">
      <selection activeCell="D12" sqref="D12"/>
    </sheetView>
  </sheetViews>
  <sheetFormatPr defaultColWidth="8.86328125" defaultRowHeight="12.75" x14ac:dyDescent="0.35"/>
  <cols>
    <col min="1" max="1" width="35" customWidth="1"/>
    <col min="2" max="2" width="12.3984375" customWidth="1"/>
    <col min="3" max="7" width="10" bestFit="1" customWidth="1"/>
    <col min="8" max="8" width="5.3984375" customWidth="1"/>
    <col min="9" max="9" width="20.3984375" bestFit="1" customWidth="1"/>
    <col min="10" max="11" width="9.59765625" bestFit="1" customWidth="1"/>
    <col min="12" max="15" width="9.3984375" bestFit="1" customWidth="1"/>
  </cols>
  <sheetData>
    <row r="1" spans="1:16" ht="13.15" x14ac:dyDescent="0.4">
      <c r="A1" s="2" t="s">
        <v>86</v>
      </c>
      <c r="C1" s="44"/>
      <c r="J1" s="137" t="s">
        <v>7</v>
      </c>
      <c r="K1" s="137"/>
      <c r="L1" s="137"/>
      <c r="M1" s="137"/>
      <c r="N1" s="137"/>
      <c r="O1" s="137"/>
    </row>
    <row r="2" spans="1:16" x14ac:dyDescent="0.35">
      <c r="A2" s="14" t="s">
        <v>90</v>
      </c>
      <c r="B2" s="22">
        <f>MAX(0.01,Inputs!B15)</f>
        <v>7875</v>
      </c>
      <c r="C2" s="14"/>
      <c r="J2" s="75" t="s">
        <v>103</v>
      </c>
      <c r="K2" s="75" t="s">
        <v>98</v>
      </c>
      <c r="L2" s="75" t="s">
        <v>99</v>
      </c>
      <c r="M2" s="75" t="s">
        <v>100</v>
      </c>
      <c r="N2" s="75" t="s">
        <v>101</v>
      </c>
      <c r="O2" s="75" t="s">
        <v>102</v>
      </c>
    </row>
    <row r="3" spans="1:16" x14ac:dyDescent="0.35">
      <c r="A3" s="14" t="s">
        <v>61</v>
      </c>
      <c r="B3" s="16">
        <f>Inputs!C15</f>
        <v>3.5038705936050504E-2</v>
      </c>
      <c r="C3" s="15"/>
      <c r="I3" s="57" t="s">
        <v>105</v>
      </c>
      <c r="J3" s="1">
        <f t="shared" ref="J3:O3" si="0">B8</f>
        <v>7875</v>
      </c>
      <c r="K3" s="1">
        <f t="shared" si="0"/>
        <v>8083.3261124979945</v>
      </c>
      <c r="L3" s="1">
        <f t="shared" si="0"/>
        <v>8275.7074773480454</v>
      </c>
      <c r="M3" s="1">
        <f t="shared" si="0"/>
        <v>8523.9787016684877</v>
      </c>
      <c r="N3" s="1">
        <f t="shared" si="0"/>
        <v>8501.2875585692873</v>
      </c>
      <c r="O3" s="1">
        <f t="shared" si="0"/>
        <v>8728.6454272640094</v>
      </c>
    </row>
    <row r="4" spans="1:16" x14ac:dyDescent="0.35">
      <c r="A4" s="14" t="s">
        <v>62</v>
      </c>
      <c r="B4" s="24">
        <f>Inputs!D15</f>
        <v>33</v>
      </c>
      <c r="C4" s="25"/>
    </row>
    <row r="5" spans="1:16" x14ac:dyDescent="0.35">
      <c r="J5" s="8"/>
      <c r="K5" s="1"/>
      <c r="L5" s="1"/>
      <c r="M5" s="1"/>
      <c r="N5" s="1"/>
      <c r="O5" s="1"/>
    </row>
    <row r="6" spans="1:16" x14ac:dyDescent="0.35">
      <c r="A6" s="41" t="s">
        <v>0</v>
      </c>
      <c r="B6" s="61" t="s">
        <v>103</v>
      </c>
      <c r="C6" s="61" t="s">
        <v>98</v>
      </c>
      <c r="D6" s="61" t="s">
        <v>99</v>
      </c>
      <c r="E6" s="61" t="s">
        <v>100</v>
      </c>
      <c r="F6" s="61" t="s">
        <v>101</v>
      </c>
      <c r="G6" s="61" t="s">
        <v>102</v>
      </c>
      <c r="P6" s="1"/>
    </row>
    <row r="7" spans="1:16" x14ac:dyDescent="0.35">
      <c r="A7" s="14" t="s">
        <v>107</v>
      </c>
      <c r="B7" s="15">
        <f>(B4*4/qtr)/B2</f>
        <v>4.1904761904761906E-3</v>
      </c>
      <c r="C7" s="15">
        <f>ProjectedLossRates!B8</f>
        <v>3.44261211305348E-3</v>
      </c>
      <c r="D7" s="15">
        <f>ProjectedLossRates!C8</f>
        <v>6.0196332654195196E-3</v>
      </c>
      <c r="E7" s="15">
        <f>ProjectedLossRates!D8</f>
        <v>0</v>
      </c>
      <c r="F7" s="15">
        <f>ProjectedLossRates!E8</f>
        <v>3.1710715124871516E-2</v>
      </c>
      <c r="G7" s="15">
        <f>ProjectedLossRates!F8</f>
        <v>3.161229661446678E-3</v>
      </c>
    </row>
    <row r="8" spans="1:16" ht="13.15" x14ac:dyDescent="0.4">
      <c r="A8" t="s">
        <v>10</v>
      </c>
      <c r="B8">
        <f>B2</f>
        <v>7875</v>
      </c>
      <c r="C8" s="1">
        <f>B8*(1-MAX(0,C7))*(1+rt)</f>
        <v>8083.3261124979945</v>
      </c>
      <c r="D8" s="1">
        <f>C8*(1-MAX(0,D7))*(1+rt)</f>
        <v>8275.7074773480454</v>
      </c>
      <c r="E8" s="1">
        <f>D8*(1-MAX(0,E7))*(1+rt)</f>
        <v>8523.9787016684877</v>
      </c>
      <c r="F8" s="1">
        <f>E8*(1-MAX(0,F7))*(1+rt)</f>
        <v>8501.2875585692873</v>
      </c>
      <c r="G8" s="1">
        <f>F8*(1-MAX(0,G7))*(1+rt)</f>
        <v>8728.6454272640094</v>
      </c>
      <c r="J8" s="137" t="s">
        <v>1</v>
      </c>
      <c r="K8" s="137"/>
      <c r="L8" s="137"/>
      <c r="M8" s="137"/>
      <c r="N8" s="137"/>
      <c r="O8" s="137"/>
    </row>
    <row r="9" spans="1:16" ht="13.15" x14ac:dyDescent="0.4">
      <c r="A9" s="14" t="s">
        <v>63</v>
      </c>
      <c r="B9" s="1">
        <f t="shared" ref="B9:G9" si="1">B8*$B$3</f>
        <v>275.92980924639772</v>
      </c>
      <c r="C9" s="1">
        <f t="shared" si="1"/>
        <v>283.22928664101551</v>
      </c>
      <c r="D9" s="1">
        <f t="shared" si="1"/>
        <v>289.97008071157251</v>
      </c>
      <c r="E9" s="1">
        <f t="shared" si="1"/>
        <v>298.66918313291973</v>
      </c>
      <c r="F9" s="1">
        <f t="shared" si="1"/>
        <v>297.87411484251396</v>
      </c>
      <c r="G9" s="1">
        <f t="shared" si="1"/>
        <v>305.84044034595553</v>
      </c>
      <c r="H9" s="4"/>
      <c r="J9" s="75" t="s">
        <v>103</v>
      </c>
      <c r="K9" s="75" t="s">
        <v>98</v>
      </c>
      <c r="L9" s="75" t="s">
        <v>99</v>
      </c>
      <c r="M9" s="75" t="s">
        <v>100</v>
      </c>
      <c r="N9" s="75" t="s">
        <v>101</v>
      </c>
      <c r="O9" s="75" t="s">
        <v>102</v>
      </c>
    </row>
    <row r="10" spans="1:16" ht="13.15" x14ac:dyDescent="0.4">
      <c r="A10" s="14" t="s">
        <v>64</v>
      </c>
      <c r="B10" s="76">
        <f>B4</f>
        <v>33</v>
      </c>
      <c r="C10" s="76">
        <f>C7*B8*(1+rt)</f>
        <v>27.923887502005041</v>
      </c>
      <c r="D10" s="76">
        <f>D7*C8*(1+rt)</f>
        <v>50.118418524887993</v>
      </c>
      <c r="E10" s="76">
        <f>E7*D8*(1+rt)</f>
        <v>0</v>
      </c>
      <c r="F10" s="76">
        <f>F7*E8*(1+rt)</f>
        <v>278.41050414925405</v>
      </c>
      <c r="G10" s="76">
        <f>G7*F8*(1+rt)</f>
        <v>27.680758062355949</v>
      </c>
      <c r="H10" s="3"/>
      <c r="I10" s="14" t="s">
        <v>65</v>
      </c>
      <c r="J10" s="1">
        <f t="shared" ref="J10:O10" si="2">B9</f>
        <v>275.92980924639772</v>
      </c>
      <c r="K10" s="1">
        <f t="shared" si="2"/>
        <v>283.22928664101551</v>
      </c>
      <c r="L10" s="1">
        <f t="shared" si="2"/>
        <v>289.97008071157251</v>
      </c>
      <c r="M10" s="1">
        <f t="shared" si="2"/>
        <v>298.66918313291973</v>
      </c>
      <c r="N10" s="1">
        <f t="shared" si="2"/>
        <v>297.87411484251396</v>
      </c>
      <c r="O10" s="1">
        <f t="shared" si="2"/>
        <v>305.84044034595553</v>
      </c>
    </row>
    <row r="11" spans="1:16" x14ac:dyDescent="0.35">
      <c r="I11" s="14" t="s">
        <v>66</v>
      </c>
      <c r="K11" s="1">
        <f>MAX(0,C10)</f>
        <v>27.923887502005041</v>
      </c>
      <c r="L11" s="1">
        <f>MAX(0,D10)</f>
        <v>50.118418524887993</v>
      </c>
      <c r="M11" s="1">
        <f>MAX(0,E10)</f>
        <v>0</v>
      </c>
      <c r="N11" s="1">
        <f>MAX(0,F10)</f>
        <v>278.41050414925405</v>
      </c>
      <c r="O11" s="1">
        <f>MAX(0,G10)</f>
        <v>27.680758062355949</v>
      </c>
    </row>
    <row r="12" spans="1:16" x14ac:dyDescent="0.35">
      <c r="K12" s="1"/>
      <c r="L12" s="1"/>
      <c r="M12" s="1"/>
      <c r="N12" s="1"/>
      <c r="O12" s="1"/>
    </row>
    <row r="14" spans="1:16" ht="13.15" x14ac:dyDescent="0.4">
      <c r="B14" s="6"/>
      <c r="C14" s="5"/>
      <c r="D14" s="1"/>
    </row>
    <row r="15" spans="1:16" x14ac:dyDescent="0.35">
      <c r="B15" s="7"/>
    </row>
    <row r="25" spans="1:7" ht="13.15" x14ac:dyDescent="0.4">
      <c r="A25" s="10"/>
      <c r="B25" s="11"/>
      <c r="C25" s="11"/>
      <c r="D25" s="11"/>
      <c r="E25" s="11"/>
      <c r="F25" s="11"/>
      <c r="G25" s="40"/>
    </row>
  </sheetData>
  <mergeCells count="2">
    <mergeCell ref="J1:O1"/>
    <mergeCell ref="J8:O8"/>
  </mergeCells>
  <phoneticPr fontId="2" type="noConversion"/>
  <pageMargins left="0.75" right="0.75" top="1" bottom="1" header="0.5" footer="0.5"/>
  <pageSetup orientation="portrait" horizontalDpi="300" verticalDpi="300"/>
  <headerFooter alignWithMargins="0"/>
  <extLs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P25"/>
  <sheetViews>
    <sheetView workbookViewId="0">
      <selection activeCell="D12" sqref="D12"/>
    </sheetView>
  </sheetViews>
  <sheetFormatPr defaultColWidth="8.86328125" defaultRowHeight="12.75" x14ac:dyDescent="0.35"/>
  <cols>
    <col min="1" max="1" width="33.3984375" customWidth="1"/>
    <col min="2" max="2" width="10.86328125" customWidth="1"/>
    <col min="3" max="3" width="8.265625" customWidth="1"/>
    <col min="4" max="4" width="8.3984375" customWidth="1"/>
    <col min="5" max="5" width="8.73046875" customWidth="1"/>
    <col min="6" max="7" width="8.3984375" customWidth="1"/>
    <col min="8" max="8" width="5.3984375" customWidth="1"/>
    <col min="9" max="9" width="20.3984375" bestFit="1" customWidth="1"/>
    <col min="10" max="10" width="8.3984375" customWidth="1"/>
    <col min="11" max="15" width="8.59765625" bestFit="1" customWidth="1"/>
  </cols>
  <sheetData>
    <row r="1" spans="1:16" ht="13.15" x14ac:dyDescent="0.4">
      <c r="A1" s="2" t="s">
        <v>17</v>
      </c>
      <c r="C1" s="44"/>
      <c r="J1" s="137" t="s">
        <v>7</v>
      </c>
      <c r="K1" s="137"/>
      <c r="L1" s="137"/>
      <c r="M1" s="137"/>
      <c r="N1" s="137"/>
      <c r="O1" s="137"/>
    </row>
    <row r="2" spans="1:16" x14ac:dyDescent="0.35">
      <c r="A2" t="s">
        <v>12</v>
      </c>
      <c r="B2" s="22">
        <f>MAX(0.01,Inputs!B19)</f>
        <v>233220</v>
      </c>
      <c r="C2" s="14"/>
      <c r="J2" s="75" t="s">
        <v>103</v>
      </c>
      <c r="K2" s="75" t="s">
        <v>98</v>
      </c>
      <c r="L2" s="75" t="s">
        <v>99</v>
      </c>
      <c r="M2" s="75" t="s">
        <v>100</v>
      </c>
      <c r="N2" s="75" t="s">
        <v>101</v>
      </c>
      <c r="O2" s="75" t="s">
        <v>102</v>
      </c>
    </row>
    <row r="3" spans="1:16" x14ac:dyDescent="0.35">
      <c r="A3" s="14" t="s">
        <v>61</v>
      </c>
      <c r="B3" s="16">
        <f>Inputs!C19</f>
        <v>2.7426518337877272E-2</v>
      </c>
      <c r="C3" s="15"/>
      <c r="I3" s="57" t="s">
        <v>105</v>
      </c>
      <c r="J3" s="1">
        <f t="shared" ref="J3:O3" si="0">B8</f>
        <v>233220</v>
      </c>
      <c r="K3" s="1">
        <f t="shared" si="0"/>
        <v>235543.54835859608</v>
      </c>
      <c r="L3" s="1">
        <f t="shared" si="0"/>
        <v>234402.39415831192</v>
      </c>
      <c r="M3" s="1">
        <f t="shared" si="0"/>
        <v>234196.33862747104</v>
      </c>
      <c r="N3" s="1">
        <f t="shared" si="0"/>
        <v>236728.57223439176</v>
      </c>
      <c r="O3" s="1">
        <f t="shared" si="0"/>
        <v>237381.17247768203</v>
      </c>
    </row>
    <row r="4" spans="1:16" x14ac:dyDescent="0.35">
      <c r="A4" s="14" t="s">
        <v>62</v>
      </c>
      <c r="B4" s="24">
        <f>Inputs!D19</f>
        <v>437</v>
      </c>
      <c r="C4" s="25"/>
    </row>
    <row r="5" spans="1:16" x14ac:dyDescent="0.35">
      <c r="J5" s="8"/>
      <c r="K5" s="1"/>
      <c r="L5" s="1"/>
      <c r="M5" s="1"/>
      <c r="N5" s="1"/>
      <c r="O5" s="1"/>
    </row>
    <row r="6" spans="1:16" x14ac:dyDescent="0.35">
      <c r="A6" s="41" t="s">
        <v>0</v>
      </c>
      <c r="B6" s="61" t="s">
        <v>103</v>
      </c>
      <c r="C6" s="61" t="s">
        <v>98</v>
      </c>
      <c r="D6" s="61" t="s">
        <v>99</v>
      </c>
      <c r="E6" s="61" t="s">
        <v>100</v>
      </c>
      <c r="F6" s="61" t="s">
        <v>101</v>
      </c>
      <c r="G6" s="61" t="s">
        <v>102</v>
      </c>
      <c r="P6" s="1"/>
    </row>
    <row r="7" spans="1:16" x14ac:dyDescent="0.35">
      <c r="A7" s="14" t="s">
        <v>107</v>
      </c>
      <c r="B7" s="15">
        <f>(B4*4/qtr)/B2</f>
        <v>1.8737672583826429E-3</v>
      </c>
      <c r="C7" s="15">
        <f>ProjectedLossRates!B9</f>
        <v>1.9453491729563795E-2</v>
      </c>
      <c r="D7" s="15">
        <f>ProjectedLossRates!C9</f>
        <v>3.3829873306224806E-2</v>
      </c>
      <c r="E7" s="15">
        <f>ProjectedLossRates!D9</f>
        <v>2.9979677201920543E-2</v>
      </c>
      <c r="F7" s="15">
        <f>ProjectedLossRates!E9</f>
        <v>1.8628700076743054E-2</v>
      </c>
      <c r="G7" s="15">
        <f>ProjectedLossRates!F9</f>
        <v>2.6449762400754018E-2</v>
      </c>
    </row>
    <row r="8" spans="1:16" ht="13.15" x14ac:dyDescent="0.4">
      <c r="A8" t="s">
        <v>10</v>
      </c>
      <c r="B8">
        <f>B2</f>
        <v>233220</v>
      </c>
      <c r="C8" s="1">
        <f>B8*(1-MAX(0,C7))*(1+rt)</f>
        <v>235543.54835859608</v>
      </c>
      <c r="D8" s="1">
        <f>C8*(1-MAX(0,D7))*(1+rt)</f>
        <v>234402.39415831192</v>
      </c>
      <c r="E8" s="1">
        <f>D8*(1-MAX(0,E7))*(1+rt)</f>
        <v>234196.33862747104</v>
      </c>
      <c r="F8" s="1">
        <f>E8*(1-MAX(0,F7))*(1+rt)</f>
        <v>236728.57223439176</v>
      </c>
      <c r="G8" s="1">
        <f>F8*(1-MAX(0,G7))*(1+rt)</f>
        <v>237381.17247768203</v>
      </c>
      <c r="J8" s="137" t="s">
        <v>1</v>
      </c>
      <c r="K8" s="137"/>
      <c r="L8" s="137"/>
      <c r="M8" s="137"/>
      <c r="N8" s="137"/>
      <c r="O8" s="137"/>
    </row>
    <row r="9" spans="1:16" ht="13.15" x14ac:dyDescent="0.4">
      <c r="A9" s="14" t="s">
        <v>63</v>
      </c>
      <c r="B9" s="1">
        <f t="shared" ref="B9:G9" si="1">B8*$B$3</f>
        <v>6396.4126067597372</v>
      </c>
      <c r="C9" s="1">
        <f t="shared" si="1"/>
        <v>6460.1394484257171</v>
      </c>
      <c r="D9" s="1">
        <f t="shared" si="1"/>
        <v>6428.8415618252784</v>
      </c>
      <c r="E9" s="1">
        <f t="shared" si="1"/>
        <v>6423.1901760300498</v>
      </c>
      <c r="F9" s="1">
        <f t="shared" si="1"/>
        <v>6492.6405274860499</v>
      </c>
      <c r="G9" s="1">
        <f t="shared" si="1"/>
        <v>6510.5390800259538</v>
      </c>
      <c r="H9" s="4"/>
      <c r="J9" s="75" t="s">
        <v>103</v>
      </c>
      <c r="K9" s="75" t="s">
        <v>98</v>
      </c>
      <c r="L9" s="75" t="s">
        <v>99</v>
      </c>
      <c r="M9" s="75" t="s">
        <v>100</v>
      </c>
      <c r="N9" s="75" t="s">
        <v>101</v>
      </c>
      <c r="O9" s="75" t="s">
        <v>102</v>
      </c>
    </row>
    <row r="10" spans="1:16" ht="13.15" x14ac:dyDescent="0.4">
      <c r="A10" s="14" t="s">
        <v>64</v>
      </c>
      <c r="B10" s="76">
        <f>B4</f>
        <v>437</v>
      </c>
      <c r="C10" s="76">
        <f>C7*B8*(1+rt)</f>
        <v>4673.0516414039339</v>
      </c>
      <c r="D10" s="76">
        <f>D7*C8*(1+rt)</f>
        <v>8207.4606510420399</v>
      </c>
      <c r="E10" s="76">
        <f>E7*D8*(1+rt)</f>
        <v>7238.1273555902435</v>
      </c>
      <c r="F10" s="76">
        <f>F7*E8*(1+rt)</f>
        <v>4493.6565519033875</v>
      </c>
      <c r="G10" s="76">
        <f>G7*F8*(1+rt)</f>
        <v>6449.2569237414791</v>
      </c>
      <c r="H10" s="3"/>
      <c r="I10" s="14" t="s">
        <v>65</v>
      </c>
      <c r="J10" s="1">
        <f t="shared" ref="J10:O10" si="2">B9</f>
        <v>6396.4126067597372</v>
      </c>
      <c r="K10" s="1">
        <f t="shared" si="2"/>
        <v>6460.1394484257171</v>
      </c>
      <c r="L10" s="1">
        <f t="shared" si="2"/>
        <v>6428.8415618252784</v>
      </c>
      <c r="M10" s="1">
        <f t="shared" si="2"/>
        <v>6423.1901760300498</v>
      </c>
      <c r="N10" s="1">
        <f t="shared" si="2"/>
        <v>6492.6405274860499</v>
      </c>
      <c r="O10" s="1">
        <f t="shared" si="2"/>
        <v>6510.5390800259538</v>
      </c>
    </row>
    <row r="11" spans="1:16" x14ac:dyDescent="0.35">
      <c r="I11" s="14" t="s">
        <v>66</v>
      </c>
      <c r="K11" s="1">
        <f>MAX(0,C10)</f>
        <v>4673.0516414039339</v>
      </c>
      <c r="L11" s="1">
        <f>MAX(0,D10)</f>
        <v>8207.4606510420399</v>
      </c>
      <c r="M11" s="1">
        <f>MAX(0,E10)</f>
        <v>7238.1273555902435</v>
      </c>
      <c r="N11" s="1">
        <f>MAX(0,F10)</f>
        <v>4493.6565519033875</v>
      </c>
      <c r="O11" s="1">
        <f>MAX(0,G10)</f>
        <v>6449.2569237414791</v>
      </c>
    </row>
    <row r="12" spans="1:16" x14ac:dyDescent="0.35">
      <c r="K12" s="1"/>
      <c r="L12" s="1"/>
      <c r="M12" s="1"/>
      <c r="N12" s="1"/>
      <c r="O12" s="1"/>
    </row>
    <row r="14" spans="1:16" ht="13.15" x14ac:dyDescent="0.4">
      <c r="B14" s="6"/>
      <c r="C14" s="5"/>
      <c r="D14" s="1"/>
    </row>
    <row r="15" spans="1:16" x14ac:dyDescent="0.35">
      <c r="B15" s="7"/>
    </row>
    <row r="25" spans="1:7" ht="13.15" x14ac:dyDescent="0.4">
      <c r="A25" s="10"/>
      <c r="B25" s="11"/>
      <c r="C25" s="11"/>
      <c r="D25" s="11"/>
      <c r="E25" s="11"/>
      <c r="F25" s="11"/>
      <c r="G25" s="40"/>
    </row>
  </sheetData>
  <mergeCells count="2">
    <mergeCell ref="J1:O1"/>
    <mergeCell ref="J8:O8"/>
  </mergeCells>
  <phoneticPr fontId="2" type="noConversion"/>
  <pageMargins left="0.75" right="0.75" top="1" bottom="1" header="0.5" footer="0.5"/>
  <pageSetup orientation="portrait"/>
  <headerFooter alignWithMargins="0"/>
  <extLs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P25"/>
  <sheetViews>
    <sheetView workbookViewId="0">
      <selection activeCell="D12" sqref="D12"/>
    </sheetView>
  </sheetViews>
  <sheetFormatPr defaultColWidth="8.86328125" defaultRowHeight="12.75" x14ac:dyDescent="0.35"/>
  <cols>
    <col min="1" max="1" width="33.1328125" customWidth="1"/>
    <col min="2" max="2" width="10.86328125" customWidth="1"/>
    <col min="3" max="7" width="9.3984375" bestFit="1" customWidth="1"/>
    <col min="8" max="8" width="5.3984375" customWidth="1"/>
    <col min="9" max="9" width="20.3984375" bestFit="1" customWidth="1"/>
    <col min="10" max="10" width="8.3984375" customWidth="1"/>
    <col min="11" max="15" width="8.3984375" bestFit="1" customWidth="1"/>
  </cols>
  <sheetData>
    <row r="1" spans="1:16" ht="13.15" x14ac:dyDescent="0.4">
      <c r="A1" s="2" t="s">
        <v>16</v>
      </c>
      <c r="C1" s="44"/>
      <c r="J1" s="137" t="s">
        <v>7</v>
      </c>
      <c r="K1" s="137"/>
      <c r="L1" s="137"/>
      <c r="M1" s="137"/>
      <c r="N1" s="137"/>
      <c r="O1" s="137"/>
    </row>
    <row r="2" spans="1:16" x14ac:dyDescent="0.35">
      <c r="A2" t="s">
        <v>11</v>
      </c>
      <c r="B2" s="22">
        <f>MAX(0.01,Inputs!B18)</f>
        <v>198888</v>
      </c>
      <c r="C2" s="14"/>
      <c r="J2" s="75" t="s">
        <v>103</v>
      </c>
      <c r="K2" s="75" t="s">
        <v>98</v>
      </c>
      <c r="L2" s="75" t="s">
        <v>99</v>
      </c>
      <c r="M2" s="75" t="s">
        <v>100</v>
      </c>
      <c r="N2" s="75" t="s">
        <v>101</v>
      </c>
      <c r="O2" s="75" t="s">
        <v>102</v>
      </c>
    </row>
    <row r="3" spans="1:16" x14ac:dyDescent="0.35">
      <c r="A3" s="14" t="s">
        <v>61</v>
      </c>
      <c r="B3" s="16">
        <f>Inputs!C18</f>
        <v>6.3262575605683005E-2</v>
      </c>
      <c r="C3" s="15"/>
      <c r="I3" s="57" t="s">
        <v>105</v>
      </c>
      <c r="J3" s="1">
        <f t="shared" ref="J3:O3" si="0">B8</f>
        <v>198888</v>
      </c>
      <c r="K3" s="1">
        <f t="shared" si="0"/>
        <v>203570.45076609915</v>
      </c>
      <c r="L3" s="1">
        <f t="shared" si="0"/>
        <v>208033.29892740614</v>
      </c>
      <c r="M3" s="1">
        <f t="shared" si="0"/>
        <v>211306.10252312821</v>
      </c>
      <c r="N3" s="1">
        <f t="shared" si="0"/>
        <v>214904.58599313072</v>
      </c>
      <c r="O3" s="1">
        <f t="shared" si="0"/>
        <v>219190.19650886671</v>
      </c>
    </row>
    <row r="4" spans="1:16" x14ac:dyDescent="0.35">
      <c r="A4" s="14" t="s">
        <v>62</v>
      </c>
      <c r="B4" s="24">
        <f>Inputs!D18</f>
        <v>1639</v>
      </c>
      <c r="C4" s="25"/>
    </row>
    <row r="5" spans="1:16" x14ac:dyDescent="0.35">
      <c r="J5" s="8"/>
      <c r="K5" s="1"/>
      <c r="L5" s="1"/>
      <c r="M5" s="1"/>
      <c r="N5" s="1"/>
      <c r="O5" s="1"/>
    </row>
    <row r="6" spans="1:16" x14ac:dyDescent="0.35">
      <c r="A6" s="41" t="s">
        <v>0</v>
      </c>
      <c r="B6" s="61" t="s">
        <v>103</v>
      </c>
      <c r="C6" s="61" t="s">
        <v>98</v>
      </c>
      <c r="D6" s="61" t="s">
        <v>99</v>
      </c>
      <c r="E6" s="61" t="s">
        <v>100</v>
      </c>
      <c r="F6" s="61" t="s">
        <v>101</v>
      </c>
      <c r="G6" s="61" t="s">
        <v>102</v>
      </c>
      <c r="P6" s="1"/>
    </row>
    <row r="7" spans="1:16" x14ac:dyDescent="0.35">
      <c r="A7" s="14" t="s">
        <v>107</v>
      </c>
      <c r="B7" s="15">
        <f>(B4*4/qtr)/B2</f>
        <v>8.2408189533807966E-3</v>
      </c>
      <c r="C7" s="15">
        <f>ProjectedLossRates!B10</f>
        <v>6.2687827520081559E-3</v>
      </c>
      <c r="D7" s="15">
        <f>ProjectedLossRates!C10</f>
        <v>7.8418755351861852E-3</v>
      </c>
      <c r="E7" s="15">
        <f>ProjectedLossRates!D10</f>
        <v>1.3852316405915676E-2</v>
      </c>
      <c r="F7" s="15">
        <f>ProjectedLossRates!E10</f>
        <v>1.2592506187996066E-2</v>
      </c>
      <c r="G7" s="15">
        <f>ProjectedLossRates!F10</f>
        <v>9.765124161528551E-3</v>
      </c>
    </row>
    <row r="8" spans="1:16" ht="13.15" x14ac:dyDescent="0.4">
      <c r="A8" t="s">
        <v>10</v>
      </c>
      <c r="B8">
        <f>B2</f>
        <v>198888</v>
      </c>
      <c r="C8" s="1">
        <f>B8*(1-MAX(0,C7))*(1+rt)</f>
        <v>203570.45076609915</v>
      </c>
      <c r="D8" s="1">
        <f>C8*(1-MAX(0,D7))*(1+rt)</f>
        <v>208033.29892740614</v>
      </c>
      <c r="E8" s="1">
        <f>D8*(1-MAX(0,E7))*(1+rt)</f>
        <v>211306.10252312821</v>
      </c>
      <c r="F8" s="1">
        <f>E8*(1-MAX(0,F7))*(1+rt)</f>
        <v>214904.58599313072</v>
      </c>
      <c r="G8" s="1">
        <f>F8*(1-MAX(0,G7))*(1+rt)</f>
        <v>219190.19650886671</v>
      </c>
      <c r="J8" s="137" t="s">
        <v>1</v>
      </c>
      <c r="K8" s="137"/>
      <c r="L8" s="137"/>
      <c r="M8" s="137"/>
      <c r="N8" s="137"/>
      <c r="O8" s="137"/>
    </row>
    <row r="9" spans="1:16" ht="13.15" x14ac:dyDescent="0.4">
      <c r="A9" s="14" t="s">
        <v>63</v>
      </c>
      <c r="B9" s="1">
        <f t="shared" ref="B9:G9" si="1">B8*$B$3</f>
        <v>12582.167137063081</v>
      </c>
      <c r="C9" s="1">
        <f t="shared" si="1"/>
        <v>12878.391032673317</v>
      </c>
      <c r="D9" s="1">
        <f t="shared" si="1"/>
        <v>13160.722301894684</v>
      </c>
      <c r="E9" s="1">
        <f t="shared" si="1"/>
        <v>13367.768286811603</v>
      </c>
      <c r="F9" s="1">
        <f t="shared" si="1"/>
        <v>13595.417619398437</v>
      </c>
      <c r="G9" s="1">
        <f t="shared" si="1"/>
        <v>13866.536378666695</v>
      </c>
      <c r="H9" s="4"/>
      <c r="J9" s="75" t="s">
        <v>103</v>
      </c>
      <c r="K9" s="75" t="s">
        <v>98</v>
      </c>
      <c r="L9" s="75" t="s">
        <v>99</v>
      </c>
      <c r="M9" s="75" t="s">
        <v>100</v>
      </c>
      <c r="N9" s="75" t="s">
        <v>101</v>
      </c>
      <c r="O9" s="75" t="s">
        <v>102</v>
      </c>
    </row>
    <row r="10" spans="1:16" ht="13.15" x14ac:dyDescent="0.4">
      <c r="A10" s="14" t="s">
        <v>64</v>
      </c>
      <c r="B10" s="76">
        <f>B4</f>
        <v>1639</v>
      </c>
      <c r="C10" s="76">
        <f>C7*B8*(1+rt)</f>
        <v>1284.18923390084</v>
      </c>
      <c r="D10" s="76">
        <f>D7*C8*(1+rt)</f>
        <v>1644.2653616759817</v>
      </c>
      <c r="E10" s="76">
        <f>E7*D8*(1+rt)</f>
        <v>2968.1953721001341</v>
      </c>
      <c r="F10" s="76">
        <f>F7*E8*(1+rt)</f>
        <v>2740.6996056913381</v>
      </c>
      <c r="G10" s="76">
        <f>G7*F8*(1+rt)</f>
        <v>2161.5270640579556</v>
      </c>
      <c r="H10" s="3"/>
      <c r="I10" s="14" t="s">
        <v>65</v>
      </c>
      <c r="J10" s="1">
        <f t="shared" ref="J10:O10" si="2">B9</f>
        <v>12582.167137063081</v>
      </c>
      <c r="K10" s="1">
        <f t="shared" si="2"/>
        <v>12878.391032673317</v>
      </c>
      <c r="L10" s="1">
        <f t="shared" si="2"/>
        <v>13160.722301894684</v>
      </c>
      <c r="M10" s="1">
        <f t="shared" si="2"/>
        <v>13367.768286811603</v>
      </c>
      <c r="N10" s="1">
        <f t="shared" si="2"/>
        <v>13595.417619398437</v>
      </c>
      <c r="O10" s="1">
        <f t="shared" si="2"/>
        <v>13866.536378666695</v>
      </c>
    </row>
    <row r="11" spans="1:16" x14ac:dyDescent="0.35">
      <c r="I11" s="14" t="s">
        <v>66</v>
      </c>
      <c r="K11" s="1">
        <f>MAX(0,C10)</f>
        <v>1284.18923390084</v>
      </c>
      <c r="L11" s="1">
        <f>MAX(0,D10)</f>
        <v>1644.2653616759817</v>
      </c>
      <c r="M11" s="1">
        <f>MAX(0,E10)</f>
        <v>2968.1953721001341</v>
      </c>
      <c r="N11" s="1">
        <f>MAX(0,F10)</f>
        <v>2740.6996056913381</v>
      </c>
      <c r="O11" s="1">
        <f>MAX(0,G10)</f>
        <v>2161.5270640579556</v>
      </c>
    </row>
    <row r="12" spans="1:16" x14ac:dyDescent="0.35">
      <c r="K12" s="1"/>
      <c r="L12" s="1"/>
      <c r="M12" s="1"/>
      <c r="N12" s="1"/>
      <c r="O12" s="1"/>
    </row>
    <row r="14" spans="1:16" ht="13.15" x14ac:dyDescent="0.4">
      <c r="B14" s="6"/>
      <c r="C14" s="5"/>
      <c r="D14" s="1"/>
    </row>
    <row r="15" spans="1:16" x14ac:dyDescent="0.35">
      <c r="B15" s="7"/>
    </row>
    <row r="25" spans="1:7" ht="13.15" x14ac:dyDescent="0.4">
      <c r="A25" s="10"/>
      <c r="B25" s="11"/>
      <c r="C25" s="11"/>
      <c r="D25" s="11"/>
      <c r="E25" s="11"/>
      <c r="F25" s="11"/>
      <c r="G25" s="40"/>
    </row>
  </sheetData>
  <mergeCells count="2">
    <mergeCell ref="J1:O1"/>
    <mergeCell ref="J8:O8"/>
  </mergeCells>
  <phoneticPr fontId="2" type="noConversion"/>
  <pageMargins left="0.75" right="0.75" top="1" bottom="1" header="0.5" footer="0.5"/>
  <pageSetup orientation="portrait"/>
  <headerFooter alignWithMargins="0"/>
  <extLst>
    <ext xmlns:mx="http://schemas.microsoft.com/office/mac/excel/2008/main" uri="{64002731-A6B0-56B0-2670-7721B7C09600}">
      <mx:PLV Mode="0" OnePage="0" WScale="0"/>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P25"/>
  <sheetViews>
    <sheetView workbookViewId="0">
      <selection activeCell="D12" sqref="D12"/>
    </sheetView>
  </sheetViews>
  <sheetFormatPr defaultColWidth="8.86328125" defaultRowHeight="12.75" x14ac:dyDescent="0.35"/>
  <cols>
    <col min="1" max="1" width="33" customWidth="1"/>
    <col min="2" max="2" width="10.86328125" customWidth="1"/>
    <col min="3" max="7" width="10.3984375" bestFit="1" customWidth="1"/>
    <col min="8" max="8" width="5.3984375" customWidth="1"/>
    <col min="9" max="9" width="20.3984375" bestFit="1" customWidth="1"/>
    <col min="10" max="10" width="8.3984375" customWidth="1"/>
    <col min="11" max="15" width="8.3984375" bestFit="1" customWidth="1"/>
  </cols>
  <sheetData>
    <row r="1" spans="1:16" ht="13.15" x14ac:dyDescent="0.4">
      <c r="A1" s="2" t="s">
        <v>15</v>
      </c>
      <c r="C1" s="44"/>
      <c r="J1" s="137" t="s">
        <v>7</v>
      </c>
      <c r="K1" s="137"/>
      <c r="L1" s="137"/>
      <c r="M1" s="137"/>
      <c r="N1" s="137"/>
      <c r="O1" s="137"/>
    </row>
    <row r="2" spans="1:16" x14ac:dyDescent="0.35">
      <c r="A2" t="s">
        <v>18</v>
      </c>
      <c r="B2" s="22">
        <f>MAX(0.01,Inputs!B20)</f>
        <v>70071</v>
      </c>
      <c r="C2" s="14"/>
      <c r="J2" s="75" t="s">
        <v>103</v>
      </c>
      <c r="K2" s="75" t="s">
        <v>98</v>
      </c>
      <c r="L2" s="75" t="s">
        <v>99</v>
      </c>
      <c r="M2" s="75" t="s">
        <v>100</v>
      </c>
      <c r="N2" s="75" t="s">
        <v>101</v>
      </c>
      <c r="O2" s="75" t="s">
        <v>102</v>
      </c>
    </row>
    <row r="3" spans="1:16" x14ac:dyDescent="0.35">
      <c r="A3" s="14" t="s">
        <v>61</v>
      </c>
      <c r="B3" s="16">
        <f>Inputs!C20</f>
        <v>2.9850536746490502E-2</v>
      </c>
      <c r="C3" s="15"/>
      <c r="I3" s="57" t="s">
        <v>105</v>
      </c>
      <c r="J3" s="1">
        <f t="shared" ref="J3:O3" si="0">B8</f>
        <v>70071</v>
      </c>
      <c r="K3" s="1">
        <f t="shared" si="0"/>
        <v>70763.846526686262</v>
      </c>
      <c r="L3" s="1">
        <f t="shared" si="0"/>
        <v>70378.210421862925</v>
      </c>
      <c r="M3" s="1">
        <f t="shared" si="0"/>
        <v>69937.494433281478</v>
      </c>
      <c r="N3" s="1">
        <f t="shared" si="0"/>
        <v>70697.337324740452</v>
      </c>
      <c r="O3" s="1">
        <f t="shared" si="0"/>
        <v>71370.93332592948</v>
      </c>
    </row>
    <row r="4" spans="1:16" x14ac:dyDescent="0.35">
      <c r="A4" s="14" t="s">
        <v>62</v>
      </c>
      <c r="B4" s="24">
        <f>Inputs!D20</f>
        <v>2</v>
      </c>
      <c r="C4" s="25"/>
    </row>
    <row r="5" spans="1:16" x14ac:dyDescent="0.35">
      <c r="J5" s="8"/>
      <c r="K5" s="1"/>
      <c r="L5" s="1"/>
      <c r="M5" s="1"/>
      <c r="N5" s="1"/>
      <c r="O5" s="1"/>
    </row>
    <row r="6" spans="1:16" x14ac:dyDescent="0.35">
      <c r="A6" s="41" t="s">
        <v>0</v>
      </c>
      <c r="B6" s="61" t="s">
        <v>103</v>
      </c>
      <c r="C6" s="61" t="s">
        <v>98</v>
      </c>
      <c r="D6" s="61" t="s">
        <v>99</v>
      </c>
      <c r="E6" s="61" t="s">
        <v>100</v>
      </c>
      <c r="F6" s="61" t="s">
        <v>101</v>
      </c>
      <c r="G6" s="61" t="s">
        <v>102</v>
      </c>
      <c r="P6" s="1"/>
    </row>
    <row r="7" spans="1:16" x14ac:dyDescent="0.35">
      <c r="A7" s="14" t="s">
        <v>107</v>
      </c>
      <c r="B7" s="15">
        <f>(B4*4/qtr)/B2</f>
        <v>2.8542478343394556E-5</v>
      </c>
      <c r="C7" s="15">
        <f>ProjectedLossRates!B11</f>
        <v>1.9526428648913376E-2</v>
      </c>
      <c r="D7" s="15">
        <f>ProjectedLossRates!C11</f>
        <v>3.4417107228493775E-2</v>
      </c>
      <c r="E7" s="15">
        <f>ProjectedLossRates!D11</f>
        <v>3.5205930567127661E-2</v>
      </c>
      <c r="F7" s="15">
        <f>ProjectedLossRates!E11</f>
        <v>1.8578058399033374E-2</v>
      </c>
      <c r="G7" s="15">
        <f>ProjectedLossRates!F11</f>
        <v>1.987584116053082E-2</v>
      </c>
    </row>
    <row r="8" spans="1:16" ht="13.15" x14ac:dyDescent="0.4">
      <c r="A8" t="s">
        <v>10</v>
      </c>
      <c r="B8">
        <f>B2</f>
        <v>70071</v>
      </c>
      <c r="C8" s="1">
        <f>B8*(1-MAX(0,C7))*(1+rt)</f>
        <v>70763.846526686262</v>
      </c>
      <c r="D8" s="1">
        <f>C8*(1-MAX(0,D7))*(1+rt)</f>
        <v>70378.210421862925</v>
      </c>
      <c r="E8" s="1">
        <f>D8*(1-MAX(0,E7))*(1+rt)</f>
        <v>69937.494433281478</v>
      </c>
      <c r="F8" s="1">
        <f>E8*(1-MAX(0,F7))*(1+rt)</f>
        <v>70697.337324740452</v>
      </c>
      <c r="G8" s="1">
        <f>F8*(1-MAX(0,G7))*(1+rt)</f>
        <v>71370.93332592948</v>
      </c>
      <c r="J8" s="137" t="s">
        <v>1</v>
      </c>
      <c r="K8" s="137"/>
      <c r="L8" s="137"/>
      <c r="M8" s="137"/>
      <c r="N8" s="137"/>
      <c r="O8" s="137"/>
    </row>
    <row r="9" spans="1:16" ht="13.15" x14ac:dyDescent="0.4">
      <c r="A9" s="14" t="s">
        <v>63</v>
      </c>
      <c r="B9" s="1">
        <f t="shared" ref="B9:G9" si="1">B8*$B$3</f>
        <v>2091.6569603633361</v>
      </c>
      <c r="C9" s="1">
        <f t="shared" si="1"/>
        <v>2112.3388010678627</v>
      </c>
      <c r="D9" s="1">
        <f t="shared" si="1"/>
        <v>2100.8273563500602</v>
      </c>
      <c r="E9" s="1">
        <f t="shared" si="1"/>
        <v>2087.6717475381438</v>
      </c>
      <c r="F9" s="1">
        <f t="shared" si="1"/>
        <v>2110.3534656911993</v>
      </c>
      <c r="G9" s="1">
        <f t="shared" si="1"/>
        <v>2130.4606678769815</v>
      </c>
      <c r="H9" s="4"/>
      <c r="J9" s="75" t="s">
        <v>103</v>
      </c>
      <c r="K9" s="75" t="s">
        <v>98</v>
      </c>
      <c r="L9" s="75" t="s">
        <v>99</v>
      </c>
      <c r="M9" s="75" t="s">
        <v>100</v>
      </c>
      <c r="N9" s="75" t="s">
        <v>101</v>
      </c>
      <c r="O9" s="75" t="s">
        <v>102</v>
      </c>
    </row>
    <row r="10" spans="1:16" ht="13.15" x14ac:dyDescent="0.4">
      <c r="A10" s="14" t="s">
        <v>64</v>
      </c>
      <c r="B10" s="76">
        <f>B4</f>
        <v>2</v>
      </c>
      <c r="C10" s="76">
        <f>C7*B8*(1+rt)</f>
        <v>1409.2834733137497</v>
      </c>
      <c r="D10" s="76">
        <f>D7*C8*(1+rt)</f>
        <v>2508.551500623927</v>
      </c>
      <c r="E10" s="76">
        <f>E7*D8*(1+rt)</f>
        <v>2552.0623012373308</v>
      </c>
      <c r="F10" s="76">
        <f>F7*E8*(1+rt)</f>
        <v>1338.281941539482</v>
      </c>
      <c r="G10" s="76">
        <f>G7*F8*(1+rt)</f>
        <v>1447.3241185531786</v>
      </c>
      <c r="H10" s="3"/>
      <c r="I10" s="14" t="s">
        <v>65</v>
      </c>
      <c r="J10" s="1">
        <f t="shared" ref="J10:O10" si="2">B9</f>
        <v>2091.6569603633361</v>
      </c>
      <c r="K10" s="1">
        <f t="shared" si="2"/>
        <v>2112.3388010678627</v>
      </c>
      <c r="L10" s="1">
        <f t="shared" si="2"/>
        <v>2100.8273563500602</v>
      </c>
      <c r="M10" s="1">
        <f t="shared" si="2"/>
        <v>2087.6717475381438</v>
      </c>
      <c r="N10" s="1">
        <f t="shared" si="2"/>
        <v>2110.3534656911993</v>
      </c>
      <c r="O10" s="1">
        <f t="shared" si="2"/>
        <v>2130.4606678769815</v>
      </c>
    </row>
    <row r="11" spans="1:16" x14ac:dyDescent="0.35">
      <c r="I11" s="14" t="s">
        <v>66</v>
      </c>
      <c r="K11" s="1">
        <f>MAX(0,C10)</f>
        <v>1409.2834733137497</v>
      </c>
      <c r="L11" s="1">
        <f>MAX(0,D10)</f>
        <v>2508.551500623927</v>
      </c>
      <c r="M11" s="1">
        <f>MAX(0,E10)</f>
        <v>2552.0623012373308</v>
      </c>
      <c r="N11" s="1">
        <f>MAX(0,F10)</f>
        <v>1338.281941539482</v>
      </c>
      <c r="O11" s="1">
        <f>MAX(0,G10)</f>
        <v>1447.3241185531786</v>
      </c>
    </row>
    <row r="12" spans="1:16" x14ac:dyDescent="0.35">
      <c r="K12" s="1"/>
      <c r="L12" s="1"/>
      <c r="M12" s="1"/>
      <c r="N12" s="1"/>
      <c r="O12" s="1"/>
    </row>
    <row r="14" spans="1:16" ht="13.15" x14ac:dyDescent="0.4">
      <c r="B14" s="6"/>
      <c r="C14" s="5"/>
      <c r="D14" s="1"/>
    </row>
    <row r="15" spans="1:16" x14ac:dyDescent="0.35">
      <c r="B15" s="7"/>
    </row>
    <row r="25" spans="1:7" ht="13.15" x14ac:dyDescent="0.4">
      <c r="A25" s="10"/>
      <c r="B25" s="11"/>
      <c r="C25" s="11"/>
      <c r="D25" s="11"/>
      <c r="E25" s="11"/>
      <c r="F25" s="11"/>
      <c r="G25" s="40"/>
    </row>
  </sheetData>
  <mergeCells count="2">
    <mergeCell ref="J1:O1"/>
    <mergeCell ref="J8:O8"/>
  </mergeCells>
  <phoneticPr fontId="2" type="noConversion"/>
  <pageMargins left="0.75" right="0.75" top="1" bottom="1" header="0.5" footer="0.5"/>
  <pageSetup orientation="portrait"/>
  <headerFooter alignWithMargins="0"/>
  <extLst>
    <ext xmlns:mx="http://schemas.microsoft.com/office/mac/excel/2008/main" uri="{64002731-A6B0-56B0-2670-7721B7C09600}">
      <mx:PLV Mode="0" OnePage="0" WScale="0"/>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P25"/>
  <sheetViews>
    <sheetView workbookViewId="0">
      <selection activeCell="D12" sqref="D12"/>
    </sheetView>
  </sheetViews>
  <sheetFormatPr defaultColWidth="8.86328125" defaultRowHeight="12.75" x14ac:dyDescent="0.35"/>
  <cols>
    <col min="1" max="1" width="32.3984375" customWidth="1"/>
    <col min="2" max="2" width="10.86328125" customWidth="1"/>
    <col min="3" max="5" width="8.3984375" bestFit="1" customWidth="1"/>
    <col min="6" max="6" width="8.3984375" customWidth="1"/>
    <col min="7" max="7" width="9.265625" bestFit="1" customWidth="1"/>
    <col min="8" max="8" width="5.3984375" customWidth="1"/>
    <col min="9" max="9" width="20.3984375" bestFit="1" customWidth="1"/>
    <col min="10" max="10" width="8.3984375" customWidth="1"/>
    <col min="12" max="13" width="7.3984375" customWidth="1"/>
    <col min="14" max="15" width="7.59765625" bestFit="1" customWidth="1"/>
  </cols>
  <sheetData>
    <row r="1" spans="1:16" ht="13.15" x14ac:dyDescent="0.4">
      <c r="A1" s="2" t="s">
        <v>19</v>
      </c>
      <c r="C1" s="44"/>
      <c r="J1" s="137" t="s">
        <v>7</v>
      </c>
      <c r="K1" s="137"/>
      <c r="L1" s="137"/>
      <c r="M1" s="137"/>
      <c r="N1" s="137"/>
      <c r="O1" s="137"/>
    </row>
    <row r="2" spans="1:16" x14ac:dyDescent="0.35">
      <c r="A2" t="s">
        <v>20</v>
      </c>
      <c r="B2" s="22">
        <f>MAX(0.01,Inputs!B21)</f>
        <v>0.01</v>
      </c>
      <c r="C2" s="14"/>
      <c r="J2" s="75" t="s">
        <v>103</v>
      </c>
      <c r="K2" s="75" t="s">
        <v>98</v>
      </c>
      <c r="L2" s="75" t="s">
        <v>99</v>
      </c>
      <c r="M2" s="75" t="s">
        <v>100</v>
      </c>
      <c r="N2" s="75" t="s">
        <v>101</v>
      </c>
      <c r="O2" s="75" t="s">
        <v>102</v>
      </c>
    </row>
    <row r="3" spans="1:16" x14ac:dyDescent="0.35">
      <c r="A3" s="14" t="s">
        <v>61</v>
      </c>
      <c r="B3" s="16">
        <f>Inputs!C21</f>
        <v>2.9850536746490502E-2</v>
      </c>
      <c r="C3" s="15"/>
      <c r="I3" s="57" t="s">
        <v>105</v>
      </c>
      <c r="J3" s="1">
        <f t="shared" ref="J3:O3" si="0">B8</f>
        <v>0.01</v>
      </c>
      <c r="K3" s="1">
        <f t="shared" si="0"/>
        <v>1.0231603956785251E-2</v>
      </c>
      <c r="L3" s="1">
        <f t="shared" si="0"/>
        <v>1.0500882443354018E-2</v>
      </c>
      <c r="M3" s="1">
        <f t="shared" si="0"/>
        <v>1.0806273104894433E-2</v>
      </c>
      <c r="N3" s="1">
        <f t="shared" si="0"/>
        <v>1.1127806918246587E-2</v>
      </c>
      <c r="O3" s="1">
        <f t="shared" si="0"/>
        <v>1.1455822825581819E-2</v>
      </c>
    </row>
    <row r="4" spans="1:16" x14ac:dyDescent="0.35">
      <c r="A4" s="14" t="s">
        <v>62</v>
      </c>
      <c r="B4" s="24">
        <f>Inputs!D21</f>
        <v>0</v>
      </c>
      <c r="C4" s="25"/>
    </row>
    <row r="5" spans="1:16" x14ac:dyDescent="0.35">
      <c r="J5" s="8"/>
      <c r="K5" s="1"/>
      <c r="L5" s="1"/>
      <c r="M5" s="1"/>
      <c r="N5" s="1"/>
      <c r="O5" s="1"/>
    </row>
    <row r="6" spans="1:16" x14ac:dyDescent="0.35">
      <c r="A6" s="41" t="s">
        <v>0</v>
      </c>
      <c r="B6" s="61" t="s">
        <v>103</v>
      </c>
      <c r="C6" s="61" t="s">
        <v>98</v>
      </c>
      <c r="D6" s="61" t="s">
        <v>99</v>
      </c>
      <c r="E6" s="61" t="s">
        <v>100</v>
      </c>
      <c r="F6" s="61" t="s">
        <v>101</v>
      </c>
      <c r="G6" s="61" t="s">
        <v>102</v>
      </c>
      <c r="P6" s="1"/>
    </row>
    <row r="7" spans="1:16" x14ac:dyDescent="0.35">
      <c r="A7" s="14" t="s">
        <v>107</v>
      </c>
      <c r="B7" s="15">
        <f>(B4*4/qtr)/B2</f>
        <v>0</v>
      </c>
      <c r="C7" s="15">
        <f>ProjectedLossRates!B12</f>
        <v>6.6403925451213154E-3</v>
      </c>
      <c r="D7" s="15">
        <f>ProjectedLossRates!C12</f>
        <v>3.5744599319678548E-3</v>
      </c>
      <c r="E7" s="15">
        <f>ProjectedLossRates!D12</f>
        <v>8.9089246539119965E-4</v>
      </c>
      <c r="F7" s="15">
        <f>ProjectedLossRates!E12</f>
        <v>2.3847886656300533E-4</v>
      </c>
      <c r="G7" s="15">
        <f>ProjectedLossRates!F12</f>
        <v>5.0763238425520008E-4</v>
      </c>
    </row>
    <row r="8" spans="1:16" ht="13.15" x14ac:dyDescent="0.4">
      <c r="A8" t="s">
        <v>10</v>
      </c>
      <c r="B8">
        <f>B2</f>
        <v>0.01</v>
      </c>
      <c r="C8" s="1">
        <f>B8*(1-MAX(0,C7))*(1+rt)</f>
        <v>1.0231603956785251E-2</v>
      </c>
      <c r="D8" s="1">
        <f>C8*(1-MAX(0,D7))*(1+rt)</f>
        <v>1.0500882443354018E-2</v>
      </c>
      <c r="E8" s="1">
        <f>D8*(1-MAX(0,E7))*(1+rt)</f>
        <v>1.0806273104894433E-2</v>
      </c>
      <c r="F8" s="1">
        <f>E8*(1-MAX(0,F7))*(1+rt)</f>
        <v>1.1127806918246587E-2</v>
      </c>
      <c r="G8" s="1">
        <f>F8*(1-MAX(0,G7))*(1+rt)</f>
        <v>1.1455822825581819E-2</v>
      </c>
      <c r="J8" s="137" t="s">
        <v>1</v>
      </c>
      <c r="K8" s="137"/>
      <c r="L8" s="137"/>
      <c r="M8" s="137"/>
      <c r="N8" s="137"/>
      <c r="O8" s="137"/>
    </row>
    <row r="9" spans="1:16" ht="13.15" x14ac:dyDescent="0.4">
      <c r="A9" s="14" t="s">
        <v>63</v>
      </c>
      <c r="B9" s="1">
        <f t="shared" ref="B9:G9" si="1">B8*$B$3</f>
        <v>2.9850536746490504E-4</v>
      </c>
      <c r="C9" s="1">
        <f t="shared" si="1"/>
        <v>3.0541886988755571E-4</v>
      </c>
      <c r="D9" s="1">
        <f t="shared" si="1"/>
        <v>3.1345697724591607E-4</v>
      </c>
      <c r="E9" s="1">
        <f t="shared" si="1"/>
        <v>3.2257305241026329E-4</v>
      </c>
      <c r="F9" s="1">
        <f t="shared" si="1"/>
        <v>3.3217100932097094E-4</v>
      </c>
      <c r="G9" s="1">
        <f t="shared" si="1"/>
        <v>3.4196246021631473E-4</v>
      </c>
      <c r="H9" s="4"/>
      <c r="J9" s="75" t="s">
        <v>103</v>
      </c>
      <c r="K9" s="75" t="s">
        <v>98</v>
      </c>
      <c r="L9" s="75" t="s">
        <v>99</v>
      </c>
      <c r="M9" s="75" t="s">
        <v>100</v>
      </c>
      <c r="N9" s="75" t="s">
        <v>101</v>
      </c>
      <c r="O9" s="75" t="s">
        <v>102</v>
      </c>
    </row>
    <row r="10" spans="1:16" ht="13.15" x14ac:dyDescent="0.4">
      <c r="A10" s="14" t="s">
        <v>64</v>
      </c>
      <c r="B10" s="76">
        <f>B4</f>
        <v>0</v>
      </c>
      <c r="C10" s="76">
        <f>C7*B8*(1+rt)</f>
        <v>6.8396043214749555E-5</v>
      </c>
      <c r="D10" s="76">
        <f>D7*C8*(1+rt)</f>
        <v>3.7669632134791419E-5</v>
      </c>
      <c r="E10" s="76">
        <f>E7*D8*(1+rt)</f>
        <v>9.6358117602051095E-6</v>
      </c>
      <c r="F10" s="76">
        <f>F7*E8*(1+rt)</f>
        <v>2.6543797946802785E-6</v>
      </c>
      <c r="G10" s="76">
        <f>G7*F8*(1+rt)</f>
        <v>5.818300212164256E-6</v>
      </c>
      <c r="H10" s="3"/>
      <c r="I10" s="14" t="s">
        <v>65</v>
      </c>
      <c r="J10" s="1">
        <f t="shared" ref="J10:O10" si="2">B9</f>
        <v>2.9850536746490504E-4</v>
      </c>
      <c r="K10" s="1">
        <f t="shared" si="2"/>
        <v>3.0541886988755571E-4</v>
      </c>
      <c r="L10" s="1">
        <f t="shared" si="2"/>
        <v>3.1345697724591607E-4</v>
      </c>
      <c r="M10" s="1">
        <f t="shared" si="2"/>
        <v>3.2257305241026329E-4</v>
      </c>
      <c r="N10" s="1">
        <f t="shared" si="2"/>
        <v>3.3217100932097094E-4</v>
      </c>
      <c r="O10" s="1">
        <f t="shared" si="2"/>
        <v>3.4196246021631473E-4</v>
      </c>
    </row>
    <row r="11" spans="1:16" x14ac:dyDescent="0.35">
      <c r="I11" s="14" t="s">
        <v>66</v>
      </c>
      <c r="K11" s="1">
        <f>MAX(0,C10)</f>
        <v>6.8396043214749555E-5</v>
      </c>
      <c r="L11" s="1">
        <f>MAX(0,D10)</f>
        <v>3.7669632134791419E-5</v>
      </c>
      <c r="M11" s="1">
        <f>MAX(0,E10)</f>
        <v>9.6358117602051095E-6</v>
      </c>
      <c r="N11" s="1">
        <f>MAX(0,F10)</f>
        <v>2.6543797946802785E-6</v>
      </c>
      <c r="O11" s="1">
        <f>MAX(0,G10)</f>
        <v>5.818300212164256E-6</v>
      </c>
    </row>
    <row r="12" spans="1:16" x14ac:dyDescent="0.35">
      <c r="K12" s="1"/>
      <c r="L12" s="1"/>
      <c r="M12" s="1"/>
      <c r="N12" s="1"/>
      <c r="O12" s="1"/>
    </row>
    <row r="14" spans="1:16" ht="13.15" x14ac:dyDescent="0.4">
      <c r="B14" s="6"/>
      <c r="C14" s="5"/>
      <c r="D14" s="1"/>
    </row>
    <row r="15" spans="1:16" x14ac:dyDescent="0.35">
      <c r="B15" s="7"/>
    </row>
    <row r="25" spans="1:7" ht="13.15" x14ac:dyDescent="0.4">
      <c r="A25" s="10"/>
      <c r="B25" s="11"/>
      <c r="C25" s="11"/>
      <c r="D25" s="11"/>
      <c r="E25" s="11"/>
      <c r="F25" s="11"/>
      <c r="G25" s="40"/>
    </row>
  </sheetData>
  <mergeCells count="2">
    <mergeCell ref="J1:O1"/>
    <mergeCell ref="J8:O8"/>
  </mergeCells>
  <phoneticPr fontId="2" type="noConversion"/>
  <pageMargins left="0.75" right="0.75" top="1" bottom="1" header="0.5" footer="0.5"/>
  <pageSetup orientation="portrait"/>
  <headerFooter alignWithMargins="0"/>
  <extLst>
    <ext xmlns:mx="http://schemas.microsoft.com/office/mac/excel/2008/main" uri="{64002731-A6B0-56B0-2670-7721B7C09600}">
      <mx:PLV Mode="0" OnePage="0" WScale="0"/>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P25"/>
  <sheetViews>
    <sheetView workbookViewId="0">
      <selection activeCell="D12" sqref="D12"/>
    </sheetView>
  </sheetViews>
  <sheetFormatPr defaultColWidth="8.86328125" defaultRowHeight="12.75" x14ac:dyDescent="0.35"/>
  <cols>
    <col min="1" max="1" width="33" customWidth="1"/>
    <col min="2" max="2" width="10.86328125" customWidth="1"/>
    <col min="3" max="7" width="9.3984375" bestFit="1" customWidth="1"/>
    <col min="8" max="8" width="5.3984375" customWidth="1"/>
    <col min="9" max="9" width="20.3984375" bestFit="1" customWidth="1"/>
    <col min="10" max="15" width="8.3984375" customWidth="1"/>
  </cols>
  <sheetData>
    <row r="1" spans="1:16" ht="13.15" x14ac:dyDescent="0.4">
      <c r="A1" s="2" t="s">
        <v>23</v>
      </c>
      <c r="C1" s="44"/>
      <c r="J1" s="137" t="s">
        <v>7</v>
      </c>
      <c r="K1" s="137"/>
      <c r="L1" s="137"/>
      <c r="M1" s="137"/>
      <c r="N1" s="137"/>
      <c r="O1" s="137"/>
    </row>
    <row r="2" spans="1:16" x14ac:dyDescent="0.35">
      <c r="A2" t="s">
        <v>14</v>
      </c>
      <c r="B2" s="22">
        <f>MAX(0.01,Inputs!B22)</f>
        <v>7453</v>
      </c>
      <c r="C2" s="14"/>
      <c r="J2" s="75" t="s">
        <v>103</v>
      </c>
      <c r="K2" s="75" t="s">
        <v>98</v>
      </c>
      <c r="L2" s="75" t="s">
        <v>99</v>
      </c>
      <c r="M2" s="75" t="s">
        <v>100</v>
      </c>
      <c r="N2" s="75" t="s">
        <v>101</v>
      </c>
      <c r="O2" s="75" t="s">
        <v>102</v>
      </c>
    </row>
    <row r="3" spans="1:16" x14ac:dyDescent="0.35">
      <c r="A3" s="14" t="s">
        <v>61</v>
      </c>
      <c r="B3" s="16">
        <f>Inputs!C22</f>
        <v>6.3262575605683005E-2</v>
      </c>
      <c r="C3" s="15"/>
      <c r="I3" s="57" t="s">
        <v>105</v>
      </c>
      <c r="J3" s="1">
        <f t="shared" ref="J3:O3" si="0">B8</f>
        <v>7453</v>
      </c>
      <c r="K3" s="1">
        <f t="shared" si="0"/>
        <v>7408.7195225454061</v>
      </c>
      <c r="L3" s="1">
        <f t="shared" si="0"/>
        <v>7487.7783158381244</v>
      </c>
      <c r="M3" s="1">
        <f t="shared" si="0"/>
        <v>7617.0071451561753</v>
      </c>
      <c r="N3" s="1">
        <f t="shared" si="0"/>
        <v>7715.569706668105</v>
      </c>
      <c r="O3" s="1">
        <f t="shared" si="0"/>
        <v>7682.8712498383638</v>
      </c>
    </row>
    <row r="4" spans="1:16" x14ac:dyDescent="0.35">
      <c r="A4" s="14" t="s">
        <v>62</v>
      </c>
      <c r="B4" s="24">
        <f>Inputs!D22</f>
        <v>0</v>
      </c>
      <c r="C4" s="25"/>
      <c r="D4" s="47"/>
    </row>
    <row r="5" spans="1:16" x14ac:dyDescent="0.35">
      <c r="J5" s="8"/>
      <c r="K5" s="1"/>
      <c r="L5" s="1"/>
      <c r="M5" s="1"/>
      <c r="N5" s="1"/>
      <c r="O5" s="1"/>
    </row>
    <row r="6" spans="1:16" x14ac:dyDescent="0.35">
      <c r="A6" s="41" t="s">
        <v>0</v>
      </c>
      <c r="B6" s="61" t="s">
        <v>103</v>
      </c>
      <c r="C6" s="61" t="s">
        <v>98</v>
      </c>
      <c r="D6" s="61" t="s">
        <v>99</v>
      </c>
      <c r="E6" s="61" t="s">
        <v>100</v>
      </c>
      <c r="F6" s="61" t="s">
        <v>101</v>
      </c>
      <c r="G6" s="61" t="s">
        <v>102</v>
      </c>
      <c r="P6" s="1"/>
    </row>
    <row r="7" spans="1:16" x14ac:dyDescent="0.35">
      <c r="A7" s="14" t="s">
        <v>107</v>
      </c>
      <c r="B7" s="15">
        <f>(B4*4/qtr)/B2</f>
        <v>0</v>
      </c>
      <c r="C7" s="15">
        <f>ProjectedLossRates!B13</f>
        <v>3.4894461923144882E-2</v>
      </c>
      <c r="D7" s="15">
        <f>ProjectedLossRates!C13</f>
        <v>1.8765973909875663E-2</v>
      </c>
      <c r="E7" s="15">
        <f>ProjectedLossRates!D13</f>
        <v>1.2370257747803684E-2</v>
      </c>
      <c r="F7" s="15">
        <f>ProjectedLossRates!E13</f>
        <v>1.6563299383338208E-2</v>
      </c>
      <c r="G7" s="15">
        <f>ProjectedLossRates!F13</f>
        <v>3.3240760644350838E-2</v>
      </c>
    </row>
    <row r="8" spans="1:16" ht="13.15" x14ac:dyDescent="0.4">
      <c r="A8" t="s">
        <v>10</v>
      </c>
      <c r="B8">
        <f>B2</f>
        <v>7453</v>
      </c>
      <c r="C8" s="1">
        <f>B8*(1-MAX(0,C7))*(1+rt)</f>
        <v>7408.7195225454061</v>
      </c>
      <c r="D8" s="1">
        <f>C8*(1-MAX(0,D7))*(1+rt)</f>
        <v>7487.7783158381244</v>
      </c>
      <c r="E8" s="1">
        <f>D8*(1-MAX(0,E7))*(1+rt)</f>
        <v>7617.0071451561753</v>
      </c>
      <c r="F8" s="1">
        <f>E8*(1-MAX(0,F7))*(1+rt)</f>
        <v>7715.569706668105</v>
      </c>
      <c r="G8" s="1">
        <f>F8*(1-MAX(0,G7))*(1+rt)</f>
        <v>7682.8712498383638</v>
      </c>
      <c r="J8" s="137" t="s">
        <v>1</v>
      </c>
      <c r="K8" s="137"/>
      <c r="L8" s="137"/>
      <c r="M8" s="137"/>
      <c r="N8" s="137"/>
      <c r="O8" s="137"/>
    </row>
    <row r="9" spans="1:16" ht="13.15" x14ac:dyDescent="0.4">
      <c r="A9" s="14" t="s">
        <v>63</v>
      </c>
      <c r="B9" s="1">
        <f t="shared" ref="B9:G9" si="1">B8*$B$3</f>
        <v>471.49597598915545</v>
      </c>
      <c r="C9" s="1">
        <f t="shared" si="1"/>
        <v>468.69467893632844</v>
      </c>
      <c r="D9" s="1">
        <f t="shared" si="1"/>
        <v>473.69614182430308</v>
      </c>
      <c r="E9" s="1">
        <f t="shared" si="1"/>
        <v>481.8714904094702</v>
      </c>
      <c r="F9" s="1">
        <f t="shared" si="1"/>
        <v>488.10681190900846</v>
      </c>
      <c r="G9" s="1">
        <f t="shared" si="1"/>
        <v>486.0382233116278</v>
      </c>
      <c r="H9" s="4"/>
      <c r="J9" s="75" t="s">
        <v>103</v>
      </c>
      <c r="K9" s="75" t="s">
        <v>98</v>
      </c>
      <c r="L9" s="75" t="s">
        <v>99</v>
      </c>
      <c r="M9" s="75" t="s">
        <v>100</v>
      </c>
      <c r="N9" s="75" t="s">
        <v>101</v>
      </c>
      <c r="O9" s="75" t="s">
        <v>102</v>
      </c>
    </row>
    <row r="10" spans="1:16" ht="13.15" x14ac:dyDescent="0.4">
      <c r="A10" s="14" t="s">
        <v>64</v>
      </c>
      <c r="B10" s="76">
        <f>B4</f>
        <v>0</v>
      </c>
      <c r="C10" s="76">
        <f>C7*B8*(1+rt)</f>
        <v>267.87047745459478</v>
      </c>
      <c r="D10" s="76">
        <f>D7*C8*(1+rt)</f>
        <v>143.20279238364378</v>
      </c>
      <c r="E10" s="76">
        <f>E7*D8*(1+rt)</f>
        <v>95.404520157092975</v>
      </c>
      <c r="F10" s="76">
        <f>F7*E8*(1+rt)</f>
        <v>129.94765284275545</v>
      </c>
      <c r="G10" s="76">
        <f>G7*F8*(1+rt)</f>
        <v>264.16554802978345</v>
      </c>
      <c r="H10" s="3"/>
      <c r="I10" s="14" t="s">
        <v>65</v>
      </c>
      <c r="J10" s="1">
        <f t="shared" ref="J10:O10" si="2">B9</f>
        <v>471.49597598915545</v>
      </c>
      <c r="K10" s="1">
        <f t="shared" si="2"/>
        <v>468.69467893632844</v>
      </c>
      <c r="L10" s="1">
        <f t="shared" si="2"/>
        <v>473.69614182430308</v>
      </c>
      <c r="M10" s="1">
        <f t="shared" si="2"/>
        <v>481.8714904094702</v>
      </c>
      <c r="N10" s="1">
        <f t="shared" si="2"/>
        <v>488.10681190900846</v>
      </c>
      <c r="O10" s="1">
        <f t="shared" si="2"/>
        <v>486.0382233116278</v>
      </c>
    </row>
    <row r="11" spans="1:16" x14ac:dyDescent="0.35">
      <c r="I11" s="14" t="s">
        <v>66</v>
      </c>
      <c r="K11" s="1">
        <f>MAX(0,C10)</f>
        <v>267.87047745459478</v>
      </c>
      <c r="L11" s="1">
        <f>MAX(0,D10)</f>
        <v>143.20279238364378</v>
      </c>
      <c r="M11" s="1">
        <f>MAX(0,E10)</f>
        <v>95.404520157092975</v>
      </c>
      <c r="N11" s="1">
        <f>MAX(0,F10)</f>
        <v>129.94765284275545</v>
      </c>
      <c r="O11" s="1">
        <f>MAX(0,G10)</f>
        <v>264.16554802978345</v>
      </c>
    </row>
    <row r="12" spans="1:16" x14ac:dyDescent="0.35">
      <c r="K12" s="1"/>
      <c r="L12" s="1"/>
      <c r="M12" s="1"/>
      <c r="N12" s="1"/>
      <c r="O12" s="1"/>
    </row>
    <row r="14" spans="1:16" ht="13.15" x14ac:dyDescent="0.4">
      <c r="B14" s="6"/>
      <c r="C14" s="5"/>
      <c r="D14" s="1"/>
    </row>
    <row r="15" spans="1:16" x14ac:dyDescent="0.35">
      <c r="B15" s="7"/>
    </row>
    <row r="25" spans="1:7" ht="13.15" x14ac:dyDescent="0.4">
      <c r="A25" s="10"/>
      <c r="B25" s="11"/>
      <c r="C25" s="11"/>
      <c r="D25" s="11"/>
      <c r="E25" s="11"/>
      <c r="F25" s="11"/>
      <c r="G25" s="40"/>
    </row>
  </sheetData>
  <mergeCells count="2">
    <mergeCell ref="J1:O1"/>
    <mergeCell ref="J8:O8"/>
  </mergeCells>
  <phoneticPr fontId="2" type="noConversion"/>
  <pageMargins left="0.75" right="0.75" top="1" bottom="1" header="0.5" footer="0.5"/>
  <pageSetup orientation="portrait"/>
  <headerFooter alignWithMargins="0"/>
  <extLst>
    <ext xmlns:mx="http://schemas.microsoft.com/office/mac/excel/2008/main" uri="{64002731-A6B0-56B0-2670-7721B7C09600}">
      <mx:PLV Mode="0" OnePage="0" WScale="0"/>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P23"/>
  <sheetViews>
    <sheetView workbookViewId="0">
      <selection activeCell="D12" sqref="D12"/>
    </sheetView>
  </sheetViews>
  <sheetFormatPr defaultColWidth="8.86328125" defaultRowHeight="12.75" x14ac:dyDescent="0.35"/>
  <cols>
    <col min="1" max="1" width="32.3984375" customWidth="1"/>
    <col min="2" max="2" width="13.1328125" customWidth="1"/>
    <col min="3" max="7" width="9.3984375" bestFit="1" customWidth="1"/>
    <col min="8" max="8" width="5.3984375" customWidth="1"/>
    <col min="9" max="9" width="20.3984375" bestFit="1" customWidth="1"/>
    <col min="10" max="15" width="9.3984375" bestFit="1" customWidth="1"/>
  </cols>
  <sheetData>
    <row r="1" spans="1:16" ht="13.15" x14ac:dyDescent="0.4">
      <c r="A1" s="2" t="s">
        <v>25</v>
      </c>
      <c r="C1" s="44"/>
      <c r="J1" s="137" t="s">
        <v>7</v>
      </c>
      <c r="K1" s="137"/>
      <c r="L1" s="137"/>
      <c r="M1" s="137"/>
      <c r="N1" s="137"/>
      <c r="O1" s="137"/>
    </row>
    <row r="2" spans="1:16" x14ac:dyDescent="0.35">
      <c r="A2" t="s">
        <v>24</v>
      </c>
      <c r="B2" s="22">
        <f>MAX(0.01,Inputs!B23)</f>
        <v>217572</v>
      </c>
      <c r="C2" s="14"/>
      <c r="I2" s="41"/>
      <c r="J2" s="75" t="s">
        <v>103</v>
      </c>
      <c r="K2" s="75" t="s">
        <v>98</v>
      </c>
      <c r="L2" s="75" t="s">
        <v>99</v>
      </c>
      <c r="M2" s="75" t="s">
        <v>100</v>
      </c>
      <c r="N2" s="75" t="s">
        <v>101</v>
      </c>
      <c r="O2" s="75" t="s">
        <v>102</v>
      </c>
    </row>
    <row r="3" spans="1:16" x14ac:dyDescent="0.35">
      <c r="A3" s="14" t="s">
        <v>61</v>
      </c>
      <c r="B3" s="16">
        <f>Inputs!C23</f>
        <v>2.4441169527380568E-2</v>
      </c>
      <c r="C3" s="15"/>
      <c r="I3" s="57" t="s">
        <v>111</v>
      </c>
      <c r="J3" s="1">
        <f>B8</f>
        <v>217572</v>
      </c>
      <c r="K3" s="1">
        <f t="shared" ref="K3:O3" si="0">C8</f>
        <v>224099.16</v>
      </c>
      <c r="L3" s="1">
        <f t="shared" si="0"/>
        <v>230822.1348</v>
      </c>
      <c r="M3" s="1">
        <f t="shared" si="0"/>
        <v>237746.798844</v>
      </c>
      <c r="N3" s="1">
        <f t="shared" si="0"/>
        <v>244879.20280932001</v>
      </c>
      <c r="O3" s="1">
        <f t="shared" si="0"/>
        <v>252225.57889359962</v>
      </c>
    </row>
    <row r="4" spans="1:16" x14ac:dyDescent="0.35">
      <c r="A4" s="14" t="s">
        <v>62</v>
      </c>
      <c r="B4" s="24">
        <v>0</v>
      </c>
      <c r="C4" s="25"/>
    </row>
    <row r="5" spans="1:16" x14ac:dyDescent="0.35">
      <c r="J5" s="8"/>
      <c r="K5" s="1"/>
      <c r="L5" s="1"/>
      <c r="M5" s="1"/>
      <c r="N5" s="1"/>
      <c r="O5" s="1"/>
    </row>
    <row r="6" spans="1:16" x14ac:dyDescent="0.35">
      <c r="A6" s="41" t="s">
        <v>0</v>
      </c>
      <c r="B6" s="61" t="s">
        <v>103</v>
      </c>
      <c r="C6" s="61" t="s">
        <v>98</v>
      </c>
      <c r="D6" s="61" t="s">
        <v>99</v>
      </c>
      <c r="E6" s="61" t="s">
        <v>100</v>
      </c>
      <c r="F6" s="61" t="s">
        <v>101</v>
      </c>
      <c r="G6" s="61" t="s">
        <v>102</v>
      </c>
      <c r="P6" s="1"/>
    </row>
    <row r="7" spans="1:16" x14ac:dyDescent="0.35">
      <c r="A7" s="14" t="s">
        <v>60</v>
      </c>
      <c r="B7" s="15">
        <f>(B4*4/qtr)/B2</f>
        <v>0</v>
      </c>
      <c r="C7" s="15">
        <v>0</v>
      </c>
      <c r="D7" s="15">
        <v>0</v>
      </c>
      <c r="E7" s="15">
        <v>0</v>
      </c>
      <c r="F7" s="15">
        <v>0</v>
      </c>
      <c r="G7" s="15">
        <v>0</v>
      </c>
    </row>
    <row r="8" spans="1:16" ht="13.15" x14ac:dyDescent="0.4">
      <c r="A8" t="s">
        <v>10</v>
      </c>
      <c r="B8">
        <f>B2</f>
        <v>217572</v>
      </c>
      <c r="C8" s="1">
        <f>B8*(1-MAX(0,C7))*(1+rt)</f>
        <v>224099.16</v>
      </c>
      <c r="D8" s="1">
        <f>C8*(1-MAX(0,D7))*(1+rt)</f>
        <v>230822.1348</v>
      </c>
      <c r="E8" s="1">
        <f>D8*(1-MAX(0,E7))*(1+rt)</f>
        <v>237746.798844</v>
      </c>
      <c r="F8" s="1">
        <f>E8*(1-MAX(0,F7))*(1+rt)</f>
        <v>244879.20280932001</v>
      </c>
      <c r="G8" s="1">
        <f>F8*(1-MAX(0,G7))*(1+rt)</f>
        <v>252225.57889359962</v>
      </c>
      <c r="J8" s="137" t="s">
        <v>1</v>
      </c>
      <c r="K8" s="137"/>
      <c r="L8" s="137"/>
      <c r="M8" s="137"/>
      <c r="N8" s="137"/>
      <c r="O8" s="137"/>
    </row>
    <row r="9" spans="1:16" ht="13.15" x14ac:dyDescent="0.4">
      <c r="A9" s="14" t="s">
        <v>63</v>
      </c>
      <c r="B9" s="1">
        <f t="shared" ref="B9:G9" si="1">B8*$B$3</f>
        <v>5317.7141364112449</v>
      </c>
      <c r="C9" s="1">
        <f t="shared" si="1"/>
        <v>5477.2455605035821</v>
      </c>
      <c r="D9" s="1">
        <f t="shared" si="1"/>
        <v>5641.5629273186896</v>
      </c>
      <c r="E9" s="1">
        <f t="shared" si="1"/>
        <v>5810.809815138251</v>
      </c>
      <c r="F9" s="1">
        <f t="shared" si="1"/>
        <v>5985.1341095923981</v>
      </c>
      <c r="G9" s="1">
        <f t="shared" si="1"/>
        <v>6164.688132880171</v>
      </c>
      <c r="H9" s="4"/>
      <c r="J9" s="75" t="s">
        <v>103</v>
      </c>
      <c r="K9" s="75" t="s">
        <v>98</v>
      </c>
      <c r="L9" s="75" t="s">
        <v>99</v>
      </c>
      <c r="M9" s="75" t="s">
        <v>100</v>
      </c>
      <c r="N9" s="75" t="s">
        <v>101</v>
      </c>
      <c r="O9" s="75" t="s">
        <v>102</v>
      </c>
    </row>
    <row r="10" spans="1:16" ht="13.15" x14ac:dyDescent="0.4">
      <c r="A10" s="14" t="s">
        <v>64</v>
      </c>
      <c r="B10" s="76">
        <f>B4</f>
        <v>0</v>
      </c>
      <c r="C10" s="76">
        <f>C7*B8*(1+rt)</f>
        <v>0</v>
      </c>
      <c r="D10" s="76">
        <f>D7*C8*(1+rt)</f>
        <v>0</v>
      </c>
      <c r="E10" s="76">
        <f>E7*D8*(1+rt)</f>
        <v>0</v>
      </c>
      <c r="F10" s="76">
        <f>F7*E8*(1+rt)</f>
        <v>0</v>
      </c>
      <c r="G10" s="76">
        <f>G7*F8*(1+rt)</f>
        <v>0</v>
      </c>
      <c r="H10" s="3"/>
      <c r="I10" s="14" t="s">
        <v>65</v>
      </c>
      <c r="J10" s="1">
        <f t="shared" ref="J10:O10" si="2">B9</f>
        <v>5317.7141364112449</v>
      </c>
      <c r="K10" s="1">
        <f t="shared" si="2"/>
        <v>5477.2455605035821</v>
      </c>
      <c r="L10" s="1">
        <f t="shared" si="2"/>
        <v>5641.5629273186896</v>
      </c>
      <c r="M10" s="1">
        <f t="shared" si="2"/>
        <v>5810.809815138251</v>
      </c>
      <c r="N10" s="1">
        <f t="shared" si="2"/>
        <v>5985.1341095923981</v>
      </c>
      <c r="O10" s="1">
        <f t="shared" si="2"/>
        <v>6164.688132880171</v>
      </c>
    </row>
    <row r="11" spans="1:16" x14ac:dyDescent="0.35">
      <c r="I11" s="14" t="s">
        <v>66</v>
      </c>
      <c r="K11" s="1">
        <f>MAX(0,C10)</f>
        <v>0</v>
      </c>
      <c r="L11" s="1">
        <f>MAX(0,D10)</f>
        <v>0</v>
      </c>
      <c r="M11" s="1">
        <f>MAX(0,E10)</f>
        <v>0</v>
      </c>
      <c r="N11" s="1">
        <f>MAX(0,F10)</f>
        <v>0</v>
      </c>
      <c r="O11" s="1">
        <f>MAX(0,G10)</f>
        <v>0</v>
      </c>
    </row>
    <row r="12" spans="1:16" ht="13.15" x14ac:dyDescent="0.4">
      <c r="B12" s="6"/>
      <c r="C12" s="5"/>
      <c r="D12" s="1"/>
      <c r="K12" s="1"/>
      <c r="L12" s="1"/>
      <c r="M12" s="1"/>
      <c r="N12" s="1"/>
      <c r="O12" s="1"/>
    </row>
    <row r="13" spans="1:16" x14ac:dyDescent="0.35">
      <c r="B13" s="7"/>
    </row>
    <row r="23" spans="1:7" ht="13.15" x14ac:dyDescent="0.4">
      <c r="A23" s="10"/>
      <c r="B23" s="11"/>
      <c r="C23" s="11"/>
      <c r="D23" s="11"/>
      <c r="E23" s="11"/>
      <c r="F23" s="11"/>
      <c r="G23" s="40"/>
    </row>
  </sheetData>
  <mergeCells count="2">
    <mergeCell ref="J1:O1"/>
    <mergeCell ref="J8:O8"/>
  </mergeCells>
  <phoneticPr fontId="2" type="noConversion"/>
  <pageMargins left="0.75" right="0.75" top="1" bottom="1" header="0.5" footer="0.5"/>
  <pageSetup orientation="portrait" horizontalDpi="300" verticalDpi="300"/>
  <headerFooter alignWithMargins="0"/>
  <extLst>
    <ext xmlns:mx="http://schemas.microsoft.com/office/mac/excel/2008/main" uri="{64002731-A6B0-56B0-2670-7721B7C09600}">
      <mx:PLV Mode="0" OnePage="0" WScale="0"/>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P26"/>
  <sheetViews>
    <sheetView workbookViewId="0">
      <selection activeCell="D12" sqref="D12"/>
    </sheetView>
  </sheetViews>
  <sheetFormatPr defaultColWidth="8.86328125" defaultRowHeight="12.75" x14ac:dyDescent="0.35"/>
  <cols>
    <col min="1" max="1" width="32.3984375" customWidth="1"/>
    <col min="2" max="2" width="13.1328125" customWidth="1"/>
    <col min="3" max="7" width="9.3984375" bestFit="1" customWidth="1"/>
    <col min="8" max="8" width="5.3984375" customWidth="1"/>
    <col min="9" max="9" width="27.265625" bestFit="1" customWidth="1"/>
    <col min="10" max="15" width="9.3984375" bestFit="1" customWidth="1"/>
  </cols>
  <sheetData>
    <row r="1" spans="1:16" ht="13.15" x14ac:dyDescent="0.4">
      <c r="A1" s="2" t="s">
        <v>30</v>
      </c>
      <c r="C1" s="44"/>
      <c r="J1" s="137" t="s">
        <v>7</v>
      </c>
      <c r="K1" s="137"/>
      <c r="L1" s="137"/>
      <c r="M1" s="137"/>
      <c r="N1" s="137"/>
      <c r="O1" s="137"/>
    </row>
    <row r="2" spans="1:16" x14ac:dyDescent="0.35">
      <c r="A2" t="s">
        <v>31</v>
      </c>
      <c r="B2" s="22">
        <f>MAX(0.01,Inputs!B24)</f>
        <v>0.01</v>
      </c>
      <c r="C2" s="14"/>
      <c r="I2" s="41"/>
      <c r="J2" s="75" t="s">
        <v>103</v>
      </c>
      <c r="K2" s="75" t="s">
        <v>98</v>
      </c>
      <c r="L2" s="75" t="s">
        <v>99</v>
      </c>
      <c r="M2" s="75" t="s">
        <v>100</v>
      </c>
      <c r="N2" s="75" t="s">
        <v>101</v>
      </c>
      <c r="O2" s="75" t="s">
        <v>102</v>
      </c>
    </row>
    <row r="3" spans="1:16" x14ac:dyDescent="0.35">
      <c r="A3" s="14" t="s">
        <v>61</v>
      </c>
      <c r="B3" s="16">
        <f>Inputs!C24</f>
        <v>2.9223744292237449E-4</v>
      </c>
      <c r="C3" s="15"/>
      <c r="I3" s="57" t="s">
        <v>112</v>
      </c>
      <c r="J3" s="1">
        <f>B8</f>
        <v>0.01</v>
      </c>
      <c r="K3" s="1">
        <f t="shared" ref="K3:O3" si="0">C8</f>
        <v>1.03E-2</v>
      </c>
      <c r="L3" s="1">
        <f t="shared" si="0"/>
        <v>1.0609E-2</v>
      </c>
      <c r="M3" s="1">
        <f t="shared" si="0"/>
        <v>1.0927270000000001E-2</v>
      </c>
      <c r="N3" s="1">
        <f t="shared" si="0"/>
        <v>1.1255088100000001E-2</v>
      </c>
      <c r="O3" s="1">
        <f t="shared" si="0"/>
        <v>1.1592740743000001E-2</v>
      </c>
    </row>
    <row r="4" spans="1:16" x14ac:dyDescent="0.35">
      <c r="A4" s="14" t="s">
        <v>62</v>
      </c>
      <c r="B4" s="24">
        <f>Inputs!D23</f>
        <v>0</v>
      </c>
      <c r="C4" s="25"/>
    </row>
    <row r="5" spans="1:16" x14ac:dyDescent="0.35">
      <c r="J5" s="8"/>
      <c r="K5" s="1"/>
      <c r="L5" s="1"/>
      <c r="M5" s="1"/>
      <c r="N5" s="1"/>
      <c r="O5" s="1"/>
    </row>
    <row r="6" spans="1:16" x14ac:dyDescent="0.35">
      <c r="A6" s="41" t="s">
        <v>0</v>
      </c>
      <c r="B6" s="61" t="s">
        <v>103</v>
      </c>
      <c r="C6" s="61" t="s">
        <v>98</v>
      </c>
      <c r="D6" s="61" t="s">
        <v>99</v>
      </c>
      <c r="E6" s="61" t="s">
        <v>100</v>
      </c>
      <c r="F6" s="61" t="s">
        <v>101</v>
      </c>
      <c r="G6" s="61" t="s">
        <v>102</v>
      </c>
      <c r="P6" s="1"/>
    </row>
    <row r="7" spans="1:16" x14ac:dyDescent="0.35">
      <c r="A7" s="14" t="s">
        <v>60</v>
      </c>
      <c r="B7" s="15">
        <f>(B4*4/qtr)/B2</f>
        <v>0</v>
      </c>
      <c r="C7" s="15">
        <v>0</v>
      </c>
      <c r="D7" s="15">
        <v>0</v>
      </c>
      <c r="E7" s="15">
        <v>0</v>
      </c>
      <c r="F7" s="15">
        <v>0</v>
      </c>
      <c r="G7" s="15">
        <v>0</v>
      </c>
    </row>
    <row r="8" spans="1:16" ht="13.15" x14ac:dyDescent="0.4">
      <c r="A8" t="s">
        <v>10</v>
      </c>
      <c r="B8">
        <f>B2</f>
        <v>0.01</v>
      </c>
      <c r="C8" s="1">
        <f>B8*(1-MAX(0,C7))*(1+rt)</f>
        <v>1.03E-2</v>
      </c>
      <c r="D8" s="1">
        <f>C8*(1-MAX(0,D7))*(1+rt)</f>
        <v>1.0609E-2</v>
      </c>
      <c r="E8" s="1">
        <f>D8*(1-MAX(0,E7))*(1+rt)</f>
        <v>1.0927270000000001E-2</v>
      </c>
      <c r="F8" s="1">
        <f>E8*(1-MAX(0,F7))*(1+rt)</f>
        <v>1.1255088100000001E-2</v>
      </c>
      <c r="G8" s="1">
        <f>F8*(1-MAX(0,G7))*(1+rt)</f>
        <v>1.1592740743000001E-2</v>
      </c>
      <c r="J8" s="137" t="s">
        <v>1</v>
      </c>
      <c r="K8" s="137"/>
      <c r="L8" s="137"/>
      <c r="M8" s="137"/>
      <c r="N8" s="137"/>
      <c r="O8" s="137"/>
    </row>
    <row r="9" spans="1:16" ht="13.15" x14ac:dyDescent="0.4">
      <c r="A9" s="14" t="s">
        <v>63</v>
      </c>
      <c r="B9" s="1">
        <f t="shared" ref="B9:G9" si="1">B8*$B$3</f>
        <v>2.9223744292237451E-6</v>
      </c>
      <c r="C9" s="1">
        <f t="shared" si="1"/>
        <v>3.0100456621004575E-6</v>
      </c>
      <c r="D9" s="1">
        <f t="shared" si="1"/>
        <v>3.100347031963471E-6</v>
      </c>
      <c r="E9" s="1">
        <f t="shared" si="1"/>
        <v>3.1933574429223755E-6</v>
      </c>
      <c r="F9" s="1">
        <f t="shared" si="1"/>
        <v>3.2891581662100467E-6</v>
      </c>
      <c r="G9" s="1">
        <f t="shared" si="1"/>
        <v>3.3878329111963478E-6</v>
      </c>
      <c r="H9" s="4"/>
      <c r="J9" s="75" t="s">
        <v>103</v>
      </c>
      <c r="K9" s="75" t="s">
        <v>98</v>
      </c>
      <c r="L9" s="75" t="s">
        <v>99</v>
      </c>
      <c r="M9" s="75" t="s">
        <v>100</v>
      </c>
      <c r="N9" s="75" t="s">
        <v>101</v>
      </c>
      <c r="O9" s="75" t="s">
        <v>102</v>
      </c>
    </row>
    <row r="10" spans="1:16" ht="13.15" x14ac:dyDescent="0.4">
      <c r="A10" s="14" t="s">
        <v>64</v>
      </c>
      <c r="B10" s="76">
        <f>B4</f>
        <v>0</v>
      </c>
      <c r="C10" s="76">
        <f>C7*B8*(1+rt)</f>
        <v>0</v>
      </c>
      <c r="D10" s="76">
        <f>D7*C8*(1+rt)</f>
        <v>0</v>
      </c>
      <c r="E10" s="76">
        <f>E7*D8*(1+rt)</f>
        <v>0</v>
      </c>
      <c r="F10" s="76">
        <f>F7*E8*(1+rt)</f>
        <v>0</v>
      </c>
      <c r="G10" s="76">
        <f>G7*F8*(1+rt)</f>
        <v>0</v>
      </c>
      <c r="H10" s="3"/>
      <c r="I10" s="14" t="s">
        <v>65</v>
      </c>
      <c r="J10" s="1">
        <f t="shared" ref="J10:O10" si="2">B9</f>
        <v>2.9223744292237451E-6</v>
      </c>
      <c r="K10" s="1">
        <f t="shared" si="2"/>
        <v>3.0100456621004575E-6</v>
      </c>
      <c r="L10" s="1">
        <f t="shared" si="2"/>
        <v>3.100347031963471E-6</v>
      </c>
      <c r="M10" s="1">
        <f t="shared" si="2"/>
        <v>3.1933574429223755E-6</v>
      </c>
      <c r="N10" s="1">
        <f t="shared" si="2"/>
        <v>3.2891581662100467E-6</v>
      </c>
      <c r="O10" s="1">
        <f t="shared" si="2"/>
        <v>3.3878329111963478E-6</v>
      </c>
    </row>
    <row r="11" spans="1:16" x14ac:dyDescent="0.35">
      <c r="A11" s="14"/>
      <c r="B11" s="1"/>
      <c r="C11" s="1"/>
      <c r="D11" s="1"/>
      <c r="E11" s="1"/>
      <c r="F11" s="1"/>
      <c r="G11" s="1"/>
      <c r="I11" s="14" t="s">
        <v>66</v>
      </c>
      <c r="K11" s="1">
        <f>MAX(0,C10)</f>
        <v>0</v>
      </c>
      <c r="L11" s="1">
        <f>MAX(0,D10)</f>
        <v>0</v>
      </c>
      <c r="M11" s="1">
        <f>MAX(0,E10)</f>
        <v>0</v>
      </c>
      <c r="N11" s="1">
        <f>MAX(0,F10)</f>
        <v>0</v>
      </c>
      <c r="O11" s="1">
        <f>MAX(0,G10)</f>
        <v>0</v>
      </c>
    </row>
    <row r="12" spans="1:16" x14ac:dyDescent="0.35">
      <c r="C12" s="1"/>
      <c r="D12" s="1"/>
      <c r="E12" s="1"/>
      <c r="F12" s="1"/>
      <c r="G12" s="1"/>
      <c r="K12" s="1"/>
      <c r="L12" s="1"/>
      <c r="M12" s="1"/>
      <c r="N12" s="1"/>
      <c r="O12" s="1"/>
    </row>
    <row r="13" spans="1:16" x14ac:dyDescent="0.35">
      <c r="A13" s="14"/>
      <c r="C13" s="1"/>
      <c r="D13" s="1"/>
      <c r="E13" s="1"/>
      <c r="F13" s="1"/>
      <c r="G13" s="1"/>
    </row>
    <row r="15" spans="1:16" ht="13.15" x14ac:dyDescent="0.4">
      <c r="B15" s="6"/>
      <c r="C15" s="5"/>
      <c r="D15" s="1"/>
    </row>
    <row r="16" spans="1:16" x14ac:dyDescent="0.35">
      <c r="B16" s="7"/>
    </row>
    <row r="26" spans="1:7" ht="13.15" x14ac:dyDescent="0.4">
      <c r="A26" s="10"/>
      <c r="B26" s="11"/>
      <c r="C26" s="11"/>
      <c r="D26" s="11"/>
      <c r="E26" s="11"/>
      <c r="F26" s="11"/>
      <c r="G26" s="40"/>
    </row>
  </sheetData>
  <mergeCells count="2">
    <mergeCell ref="J1:O1"/>
    <mergeCell ref="J8:O8"/>
  </mergeCells>
  <phoneticPr fontId="2" type="noConversion"/>
  <pageMargins left="0.75" right="0.75" top="1" bottom="1" header="0.5" footer="0.5"/>
  <pageSetup orientation="portrait" horizontalDpi="300" verticalDpi="300"/>
  <headerFooter alignWithMargins="0"/>
  <extLst>
    <ext xmlns:mx="http://schemas.microsoft.com/office/mac/excel/2008/main" uri="{64002731-A6B0-56B0-2670-7721B7C09600}">
      <mx:PLV Mode="0" OnePage="0" WScale="0"/>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P26"/>
  <sheetViews>
    <sheetView workbookViewId="0">
      <selection activeCell="D12" sqref="D12"/>
    </sheetView>
  </sheetViews>
  <sheetFormatPr defaultColWidth="8.86328125" defaultRowHeight="12.75" x14ac:dyDescent="0.35"/>
  <cols>
    <col min="1" max="1" width="33.1328125" customWidth="1"/>
    <col min="2" max="2" width="13.1328125" customWidth="1"/>
    <col min="3" max="7" width="9.3984375" bestFit="1" customWidth="1"/>
    <col min="8" max="8" width="5.3984375" customWidth="1"/>
    <col min="9" max="9" width="27.265625" bestFit="1" customWidth="1"/>
    <col min="10" max="15" width="9.3984375" bestFit="1" customWidth="1"/>
  </cols>
  <sheetData>
    <row r="1" spans="1:16" ht="13.15" x14ac:dyDescent="0.4">
      <c r="A1" s="2" t="s">
        <v>32</v>
      </c>
      <c r="C1" s="44"/>
      <c r="J1" s="137" t="s">
        <v>7</v>
      </c>
      <c r="K1" s="137"/>
      <c r="L1" s="137"/>
      <c r="M1" s="137"/>
      <c r="N1" s="137"/>
      <c r="O1" s="137"/>
    </row>
    <row r="2" spans="1:16" x14ac:dyDescent="0.35">
      <c r="A2" t="s">
        <v>33</v>
      </c>
      <c r="B2" s="22">
        <f>MAX(0.01,Inputs!B25)</f>
        <v>6215</v>
      </c>
      <c r="C2" s="14"/>
      <c r="J2" s="61" t="s">
        <v>103</v>
      </c>
      <c r="K2" s="61" t="s">
        <v>98</v>
      </c>
      <c r="L2" s="61" t="s">
        <v>99</v>
      </c>
      <c r="M2" s="61" t="s">
        <v>100</v>
      </c>
      <c r="N2" s="61" t="s">
        <v>101</v>
      </c>
      <c r="O2" s="61" t="s">
        <v>102</v>
      </c>
    </row>
    <row r="3" spans="1:16" x14ac:dyDescent="0.35">
      <c r="A3" s="14" t="s">
        <v>61</v>
      </c>
      <c r="B3" s="16">
        <f>Inputs!C25</f>
        <v>1.538343204368895E-4</v>
      </c>
      <c r="C3" s="15"/>
      <c r="I3" s="57" t="s">
        <v>113</v>
      </c>
      <c r="J3" s="1">
        <f>B8</f>
        <v>6215</v>
      </c>
      <c r="K3" s="1">
        <f t="shared" ref="K3:O3" si="0">C8</f>
        <v>6401.45</v>
      </c>
      <c r="L3" s="1">
        <f t="shared" si="0"/>
        <v>6593.4934999999996</v>
      </c>
      <c r="M3" s="1">
        <f t="shared" si="0"/>
        <v>6791.2983049999993</v>
      </c>
      <c r="N3" s="1">
        <f t="shared" si="0"/>
        <v>6995.0372541499992</v>
      </c>
      <c r="O3" s="1">
        <f t="shared" si="0"/>
        <v>7204.8883717744993</v>
      </c>
    </row>
    <row r="4" spans="1:16" x14ac:dyDescent="0.35">
      <c r="A4" s="14" t="s">
        <v>62</v>
      </c>
      <c r="B4" s="24">
        <f>Inputs!D24</f>
        <v>0</v>
      </c>
      <c r="C4" s="25"/>
    </row>
    <row r="5" spans="1:16" x14ac:dyDescent="0.35">
      <c r="J5" s="8"/>
      <c r="K5" s="1"/>
      <c r="L5" s="1"/>
      <c r="M5" s="1"/>
      <c r="N5" s="1"/>
      <c r="O5" s="1"/>
    </row>
    <row r="6" spans="1:16" x14ac:dyDescent="0.35">
      <c r="A6" s="41" t="s">
        <v>0</v>
      </c>
      <c r="B6" s="61" t="s">
        <v>103</v>
      </c>
      <c r="C6" s="61" t="s">
        <v>98</v>
      </c>
      <c r="D6" s="61" t="s">
        <v>99</v>
      </c>
      <c r="E6" s="61" t="s">
        <v>100</v>
      </c>
      <c r="F6" s="61" t="s">
        <v>101</v>
      </c>
      <c r="G6" s="61" t="s">
        <v>102</v>
      </c>
      <c r="P6" s="1"/>
    </row>
    <row r="7" spans="1:16" x14ac:dyDescent="0.35">
      <c r="A7" s="14" t="s">
        <v>60</v>
      </c>
      <c r="B7" s="15">
        <f>(B4*4/qtr)/B2</f>
        <v>0</v>
      </c>
      <c r="C7" s="15">
        <v>0</v>
      </c>
      <c r="D7" s="15">
        <v>0</v>
      </c>
      <c r="E7" s="15">
        <v>0</v>
      </c>
      <c r="F7" s="15">
        <v>0</v>
      </c>
      <c r="G7" s="15">
        <v>0</v>
      </c>
    </row>
    <row r="8" spans="1:16" ht="13.15" x14ac:dyDescent="0.4">
      <c r="A8" t="s">
        <v>10</v>
      </c>
      <c r="B8">
        <f>B2</f>
        <v>6215</v>
      </c>
      <c r="C8" s="1">
        <f>B8*(1-MAX(0,C7))*(1+rt)</f>
        <v>6401.45</v>
      </c>
      <c r="D8" s="1">
        <f>C8*(1-MAX(0,D7))*(1+rt)</f>
        <v>6593.4934999999996</v>
      </c>
      <c r="E8" s="1">
        <f>D8*(1-MAX(0,E7))*(1+rt)</f>
        <v>6791.2983049999993</v>
      </c>
      <c r="F8" s="1">
        <f>E8*(1-MAX(0,F7))*(1+rt)</f>
        <v>6995.0372541499992</v>
      </c>
      <c r="G8" s="1">
        <f>F8*(1-MAX(0,G7))*(1+rt)</f>
        <v>7204.8883717744993</v>
      </c>
      <c r="J8" s="137" t="s">
        <v>1</v>
      </c>
      <c r="K8" s="137"/>
      <c r="L8" s="137"/>
      <c r="M8" s="137"/>
      <c r="N8" s="137"/>
      <c r="O8" s="137"/>
    </row>
    <row r="9" spans="1:16" ht="13.15" x14ac:dyDescent="0.4">
      <c r="A9" s="14" t="s">
        <v>63</v>
      </c>
      <c r="B9" s="1">
        <f t="shared" ref="B9:G9" si="1">B8*$B$3</f>
        <v>0.95608030151526824</v>
      </c>
      <c r="C9" s="1">
        <f t="shared" si="1"/>
        <v>0.98476271056072628</v>
      </c>
      <c r="D9" s="1">
        <f t="shared" si="1"/>
        <v>1.0143055918775481</v>
      </c>
      <c r="E9" s="1">
        <f t="shared" si="1"/>
        <v>1.0447347596338743</v>
      </c>
      <c r="F9" s="1">
        <f t="shared" si="1"/>
        <v>1.0760768024228906</v>
      </c>
      <c r="G9" s="1">
        <f t="shared" si="1"/>
        <v>1.1083591064955773</v>
      </c>
      <c r="H9" s="4"/>
      <c r="J9" s="75" t="s">
        <v>103</v>
      </c>
      <c r="K9" s="75" t="s">
        <v>98</v>
      </c>
      <c r="L9" s="75" t="s">
        <v>99</v>
      </c>
      <c r="M9" s="75" t="s">
        <v>100</v>
      </c>
      <c r="N9" s="75" t="s">
        <v>101</v>
      </c>
      <c r="O9" s="75" t="s">
        <v>102</v>
      </c>
    </row>
    <row r="10" spans="1:16" ht="13.15" x14ac:dyDescent="0.4">
      <c r="A10" s="14" t="s">
        <v>64</v>
      </c>
      <c r="B10" s="76">
        <f>B4</f>
        <v>0</v>
      </c>
      <c r="C10" s="76">
        <f>C7*B8*(1+rt)</f>
        <v>0</v>
      </c>
      <c r="D10" s="76">
        <f>D7*C8*(1+rt)</f>
        <v>0</v>
      </c>
      <c r="E10" s="76">
        <f>E7*D8*(1+rt)</f>
        <v>0</v>
      </c>
      <c r="F10" s="76">
        <f>F7*E8*(1+rt)</f>
        <v>0</v>
      </c>
      <c r="G10" s="76">
        <f>G7*F8*(1+rt)</f>
        <v>0</v>
      </c>
      <c r="H10" s="3"/>
      <c r="I10" s="14" t="s">
        <v>65</v>
      </c>
      <c r="J10" s="1">
        <f t="shared" ref="J10:O10" si="2">B9</f>
        <v>0.95608030151526824</v>
      </c>
      <c r="K10" s="1">
        <f t="shared" si="2"/>
        <v>0.98476271056072628</v>
      </c>
      <c r="L10" s="1">
        <f t="shared" si="2"/>
        <v>1.0143055918775481</v>
      </c>
      <c r="M10" s="1">
        <f t="shared" si="2"/>
        <v>1.0447347596338743</v>
      </c>
      <c r="N10" s="1">
        <f t="shared" si="2"/>
        <v>1.0760768024228906</v>
      </c>
      <c r="O10" s="1">
        <f t="shared" si="2"/>
        <v>1.1083591064955773</v>
      </c>
    </row>
    <row r="11" spans="1:16" x14ac:dyDescent="0.35">
      <c r="A11" s="14"/>
      <c r="B11" s="1"/>
      <c r="C11" s="1"/>
      <c r="D11" s="1"/>
      <c r="E11" s="1"/>
      <c r="F11" s="1"/>
      <c r="G11" s="1"/>
      <c r="I11" s="14" t="s">
        <v>66</v>
      </c>
      <c r="K11" s="1">
        <f>MAX(0,C10)</f>
        <v>0</v>
      </c>
      <c r="L11" s="1">
        <f>MAX(0,D10)</f>
        <v>0</v>
      </c>
      <c r="M11" s="1">
        <f>MAX(0,E10)</f>
        <v>0</v>
      </c>
      <c r="N11" s="1">
        <f>MAX(0,F10)</f>
        <v>0</v>
      </c>
      <c r="O11" s="1">
        <f>MAX(0,G10)</f>
        <v>0</v>
      </c>
    </row>
    <row r="12" spans="1:16" x14ac:dyDescent="0.35">
      <c r="C12" s="1"/>
      <c r="D12" s="1"/>
      <c r="E12" s="1"/>
      <c r="F12" s="1"/>
      <c r="G12" s="1"/>
      <c r="K12" s="1"/>
      <c r="L12" s="1"/>
      <c r="M12" s="1"/>
      <c r="N12" s="1"/>
      <c r="O12" s="1"/>
    </row>
    <row r="13" spans="1:16" x14ac:dyDescent="0.35">
      <c r="A13" s="14"/>
      <c r="C13" s="1"/>
      <c r="D13" s="1"/>
      <c r="E13" s="1"/>
      <c r="F13" s="1"/>
      <c r="G13" s="1"/>
    </row>
    <row r="15" spans="1:16" ht="13.15" x14ac:dyDescent="0.4">
      <c r="B15" s="6"/>
      <c r="C15" s="5"/>
      <c r="D15" s="1"/>
    </row>
    <row r="16" spans="1:16" x14ac:dyDescent="0.35">
      <c r="B16" s="7"/>
    </row>
    <row r="26" spans="1:7" ht="13.15" x14ac:dyDescent="0.4">
      <c r="A26" s="10"/>
      <c r="B26" s="11"/>
      <c r="C26" s="11"/>
      <c r="D26" s="11"/>
      <c r="E26" s="11"/>
      <c r="F26" s="11"/>
      <c r="G26" s="40"/>
    </row>
  </sheetData>
  <mergeCells count="2">
    <mergeCell ref="J8:O8"/>
    <mergeCell ref="J1:O1"/>
  </mergeCells>
  <phoneticPr fontId="2" type="noConversion"/>
  <pageMargins left="0.75" right="0.75" top="1" bottom="1" header="0.5" footer="0.5"/>
  <pageSetup orientation="portrait" horizontalDpi="300" verticalDpi="300"/>
  <headerFooter alignWithMargin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1:D40"/>
  <sheetViews>
    <sheetView workbookViewId="0">
      <selection sqref="A1:D1"/>
    </sheetView>
  </sheetViews>
  <sheetFormatPr defaultRowHeight="12.75" x14ac:dyDescent="0.35"/>
  <cols>
    <col min="1" max="1" width="32.265625" bestFit="1" customWidth="1"/>
    <col min="2" max="2" width="24.265625" customWidth="1"/>
    <col min="3" max="3" width="22.3984375" customWidth="1"/>
    <col min="4" max="4" width="20.73046875" customWidth="1"/>
  </cols>
  <sheetData>
    <row r="1" spans="1:4" ht="33" customHeight="1" x14ac:dyDescent="0.35">
      <c r="A1" s="127" t="s">
        <v>168</v>
      </c>
      <c r="B1" s="127"/>
      <c r="C1" s="127"/>
      <c r="D1" s="127"/>
    </row>
    <row r="2" spans="1:4" x14ac:dyDescent="0.35">
      <c r="D2" s="96" t="s">
        <v>182</v>
      </c>
    </row>
    <row r="3" spans="1:4" ht="13.15" x14ac:dyDescent="0.4">
      <c r="A3" s="31" t="s">
        <v>167</v>
      </c>
      <c r="B3" s="32"/>
      <c r="C3" s="125" t="s">
        <v>171</v>
      </c>
      <c r="D3" s="126"/>
    </row>
    <row r="4" spans="1:4" ht="13.15" x14ac:dyDescent="0.35">
      <c r="A4" s="83" t="s">
        <v>28</v>
      </c>
      <c r="B4" s="90" t="s">
        <v>116</v>
      </c>
      <c r="C4" s="128" t="s">
        <v>174</v>
      </c>
      <c r="D4" s="129"/>
    </row>
    <row r="5" spans="1:4" ht="13.15" x14ac:dyDescent="0.35">
      <c r="A5" s="83" t="s">
        <v>29</v>
      </c>
      <c r="B5" s="90" t="s">
        <v>117</v>
      </c>
      <c r="C5" s="130"/>
      <c r="D5" s="131"/>
    </row>
    <row r="6" spans="1:4" ht="13.15" x14ac:dyDescent="0.4">
      <c r="A6" s="34" t="s">
        <v>93</v>
      </c>
      <c r="B6" s="95" t="s">
        <v>172</v>
      </c>
      <c r="C6" s="34" t="s">
        <v>176</v>
      </c>
      <c r="D6" s="42" t="s">
        <v>59</v>
      </c>
    </row>
    <row r="7" spans="1:4" x14ac:dyDescent="0.35">
      <c r="A7" s="90" t="s">
        <v>142</v>
      </c>
      <c r="B7" s="99" t="s">
        <v>175</v>
      </c>
      <c r="C7" s="100" t="s">
        <v>177</v>
      </c>
      <c r="D7" s="92" t="s">
        <v>154</v>
      </c>
    </row>
    <row r="8" spans="1:4" x14ac:dyDescent="0.35">
      <c r="A8" s="17" t="s">
        <v>72</v>
      </c>
    </row>
    <row r="9" spans="1:4" ht="13.15" x14ac:dyDescent="0.4">
      <c r="A9" s="33" t="s">
        <v>71</v>
      </c>
      <c r="B9" s="34" t="s">
        <v>47</v>
      </c>
      <c r="C9" s="35" t="s">
        <v>46</v>
      </c>
      <c r="D9" s="34" t="s">
        <v>106</v>
      </c>
    </row>
    <row r="10" spans="1:4" x14ac:dyDescent="0.35">
      <c r="A10" s="84" t="s">
        <v>75</v>
      </c>
      <c r="B10" s="91" t="s">
        <v>118</v>
      </c>
      <c r="C10" s="91" t="s">
        <v>150</v>
      </c>
      <c r="D10" s="91" t="s">
        <v>155</v>
      </c>
    </row>
    <row r="11" spans="1:4" x14ac:dyDescent="0.35">
      <c r="A11" s="84" t="s">
        <v>77</v>
      </c>
      <c r="B11" s="91" t="s">
        <v>119</v>
      </c>
      <c r="C11" s="91" t="s">
        <v>150</v>
      </c>
      <c r="D11" s="91" t="s">
        <v>156</v>
      </c>
    </row>
    <row r="12" spans="1:4" x14ac:dyDescent="0.35">
      <c r="A12" s="85" t="s">
        <v>92</v>
      </c>
      <c r="B12" s="91" t="s">
        <v>120</v>
      </c>
      <c r="C12" s="91" t="s">
        <v>150</v>
      </c>
      <c r="D12" s="91" t="s">
        <v>157</v>
      </c>
    </row>
    <row r="13" spans="1:4" x14ac:dyDescent="0.35">
      <c r="A13" s="84" t="s">
        <v>78</v>
      </c>
      <c r="B13" s="91" t="s">
        <v>121</v>
      </c>
      <c r="C13" s="91" t="s">
        <v>150</v>
      </c>
      <c r="D13" s="91" t="s">
        <v>158</v>
      </c>
    </row>
    <row r="14" spans="1:4" x14ac:dyDescent="0.35">
      <c r="A14" s="84" t="s">
        <v>79</v>
      </c>
      <c r="B14" s="91" t="s">
        <v>123</v>
      </c>
      <c r="C14" s="91" t="s">
        <v>150</v>
      </c>
      <c r="D14" s="91" t="s">
        <v>159</v>
      </c>
    </row>
    <row r="15" spans="1:4" x14ac:dyDescent="0.35">
      <c r="A15" s="84" t="s">
        <v>80</v>
      </c>
      <c r="B15" s="91" t="s">
        <v>122</v>
      </c>
      <c r="C15" s="91" t="s">
        <v>150</v>
      </c>
      <c r="D15" s="91" t="s">
        <v>160</v>
      </c>
    </row>
    <row r="16" spans="1:4" x14ac:dyDescent="0.35">
      <c r="A16" s="38"/>
      <c r="B16" s="39"/>
      <c r="C16" s="54"/>
      <c r="D16" s="55"/>
    </row>
    <row r="17" spans="1:4" ht="13.15" x14ac:dyDescent="0.4">
      <c r="A17" s="37" t="s">
        <v>48</v>
      </c>
      <c r="B17" s="34" t="s">
        <v>97</v>
      </c>
      <c r="C17" s="35" t="s">
        <v>46</v>
      </c>
      <c r="D17" s="34" t="s">
        <v>106</v>
      </c>
    </row>
    <row r="18" spans="1:4" ht="34.9" x14ac:dyDescent="0.35">
      <c r="A18" s="82" t="s">
        <v>141</v>
      </c>
      <c r="B18" s="93" t="s">
        <v>125</v>
      </c>
      <c r="C18" s="93" t="s">
        <v>143</v>
      </c>
      <c r="D18" s="93" t="s">
        <v>161</v>
      </c>
    </row>
    <row r="19" spans="1:4" ht="34.9" x14ac:dyDescent="0.35">
      <c r="A19" s="82" t="s">
        <v>40</v>
      </c>
      <c r="B19" s="93" t="s">
        <v>126</v>
      </c>
      <c r="C19" s="93" t="s">
        <v>144</v>
      </c>
      <c r="D19" s="93" t="s">
        <v>162</v>
      </c>
    </row>
    <row r="20" spans="1:4" ht="23.25" x14ac:dyDescent="0.35">
      <c r="A20" s="86" t="s">
        <v>41</v>
      </c>
      <c r="B20" s="93" t="s">
        <v>127</v>
      </c>
      <c r="C20" s="93" t="s">
        <v>145</v>
      </c>
      <c r="D20" s="93" t="s">
        <v>163</v>
      </c>
    </row>
    <row r="21" spans="1:4" x14ac:dyDescent="0.35">
      <c r="A21" s="86" t="s">
        <v>42</v>
      </c>
      <c r="B21" s="93" t="s">
        <v>124</v>
      </c>
      <c r="C21" s="93" t="s">
        <v>146</v>
      </c>
      <c r="D21" s="93" t="s">
        <v>164</v>
      </c>
    </row>
    <row r="22" spans="1:4" ht="69.75" x14ac:dyDescent="0.35">
      <c r="A22" s="82" t="s">
        <v>95</v>
      </c>
      <c r="B22" s="93" t="s">
        <v>128</v>
      </c>
      <c r="C22" s="93" t="s">
        <v>166</v>
      </c>
      <c r="D22" s="93" t="s">
        <v>165</v>
      </c>
    </row>
    <row r="23" spans="1:4" ht="23.25" x14ac:dyDescent="0.4">
      <c r="A23" s="86" t="s">
        <v>13</v>
      </c>
      <c r="B23" s="93" t="s">
        <v>151</v>
      </c>
      <c r="C23" s="93" t="s">
        <v>149</v>
      </c>
      <c r="D23" s="56"/>
    </row>
    <row r="24" spans="1:4" ht="13.15" x14ac:dyDescent="0.4">
      <c r="A24" s="82" t="s">
        <v>129</v>
      </c>
      <c r="B24" s="93" t="s">
        <v>130</v>
      </c>
      <c r="C24" s="93" t="s">
        <v>147</v>
      </c>
      <c r="D24" s="56"/>
    </row>
    <row r="25" spans="1:4" x14ac:dyDescent="0.35">
      <c r="A25" s="86" t="s">
        <v>37</v>
      </c>
      <c r="B25" s="93" t="s">
        <v>131</v>
      </c>
      <c r="C25" s="93" t="s">
        <v>148</v>
      </c>
    </row>
    <row r="27" spans="1:4" ht="13.15" x14ac:dyDescent="0.4">
      <c r="A27" s="33" t="s">
        <v>50</v>
      </c>
      <c r="B27" s="34" t="s">
        <v>96</v>
      </c>
    </row>
    <row r="28" spans="1:4" x14ac:dyDescent="0.35">
      <c r="A28" s="86" t="s">
        <v>44</v>
      </c>
      <c r="B28" s="93" t="s">
        <v>132</v>
      </c>
    </row>
    <row r="29" spans="1:4" x14ac:dyDescent="0.35">
      <c r="A29" s="86" t="s">
        <v>22</v>
      </c>
      <c r="B29" s="93" t="s">
        <v>133</v>
      </c>
    </row>
    <row r="30" spans="1:4" x14ac:dyDescent="0.35">
      <c r="A30" s="86" t="s">
        <v>21</v>
      </c>
      <c r="B30" s="93" t="s">
        <v>134</v>
      </c>
    </row>
    <row r="31" spans="1:4" x14ac:dyDescent="0.35">
      <c r="A31" s="87" t="s">
        <v>74</v>
      </c>
      <c r="B31" s="93" t="s">
        <v>135</v>
      </c>
    </row>
    <row r="32" spans="1:4" ht="13.15" x14ac:dyDescent="0.4">
      <c r="A32" s="86" t="s">
        <v>49</v>
      </c>
      <c r="B32" s="93" t="s">
        <v>152</v>
      </c>
      <c r="C32" s="2"/>
    </row>
    <row r="33" spans="1:4" x14ac:dyDescent="0.35">
      <c r="A33" s="86" t="s">
        <v>8</v>
      </c>
      <c r="B33" s="93" t="s">
        <v>136</v>
      </c>
      <c r="D33" s="57"/>
    </row>
    <row r="34" spans="1:4" x14ac:dyDescent="0.35">
      <c r="A34" s="86" t="s">
        <v>4</v>
      </c>
      <c r="B34" s="93" t="s">
        <v>153</v>
      </c>
      <c r="C34" s="49"/>
    </row>
    <row r="35" spans="1:4" x14ac:dyDescent="0.35">
      <c r="A35" s="88" t="s">
        <v>73</v>
      </c>
      <c r="B35" s="93" t="s">
        <v>137</v>
      </c>
    </row>
    <row r="36" spans="1:4" x14ac:dyDescent="0.35">
      <c r="A36" s="86" t="s">
        <v>45</v>
      </c>
      <c r="B36" s="93" t="s">
        <v>138</v>
      </c>
    </row>
    <row r="37" spans="1:4" ht="46.5" x14ac:dyDescent="0.35">
      <c r="A37" s="89" t="s">
        <v>56</v>
      </c>
      <c r="B37" s="93" t="s">
        <v>139</v>
      </c>
    </row>
    <row r="38" spans="1:4" x14ac:dyDescent="0.35">
      <c r="A38" s="89" t="s">
        <v>57</v>
      </c>
      <c r="B38" s="91" t="s">
        <v>140</v>
      </c>
    </row>
    <row r="40" spans="1:4" x14ac:dyDescent="0.35">
      <c r="A40" s="97" t="s">
        <v>170</v>
      </c>
    </row>
  </sheetData>
  <mergeCells count="3">
    <mergeCell ref="A1:D1"/>
    <mergeCell ref="C3:D3"/>
    <mergeCell ref="C4:D5"/>
  </mergeCells>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I93"/>
  <sheetViews>
    <sheetView zoomScaleNormal="100" workbookViewId="0">
      <selection activeCell="A3" sqref="A3:A13"/>
    </sheetView>
  </sheetViews>
  <sheetFormatPr defaultColWidth="8.86328125" defaultRowHeight="12.75" x14ac:dyDescent="0.35"/>
  <cols>
    <col min="1" max="1" width="27" customWidth="1"/>
    <col min="2" max="2" width="11.86328125" customWidth="1"/>
    <col min="3" max="3" width="10.59765625" customWidth="1"/>
    <col min="4" max="4" width="10.3984375" customWidth="1"/>
    <col min="5" max="5" width="11.73046875" customWidth="1"/>
    <col min="6" max="6" width="10.3984375" customWidth="1"/>
    <col min="7" max="7" width="11" bestFit="1" customWidth="1"/>
    <col min="8" max="8" width="11.73046875" customWidth="1"/>
    <col min="9" max="9" width="11.1328125" customWidth="1"/>
    <col min="10" max="10" width="18.1328125" bestFit="1" customWidth="1"/>
    <col min="11" max="11" width="10" customWidth="1"/>
    <col min="12" max="12" width="9" customWidth="1"/>
    <col min="13" max="13" width="9.73046875" customWidth="1"/>
    <col min="14" max="14" width="9.3984375" customWidth="1"/>
    <col min="16" max="16" width="14.73046875" bestFit="1" customWidth="1"/>
    <col min="18" max="18" width="16.86328125" bestFit="1" customWidth="1"/>
  </cols>
  <sheetData>
    <row r="1" spans="1:9" ht="18.75" customHeight="1" x14ac:dyDescent="0.35">
      <c r="A1" s="132" t="s">
        <v>169</v>
      </c>
      <c r="B1" s="132"/>
      <c r="C1" s="132"/>
      <c r="D1" s="132"/>
      <c r="E1" s="132"/>
      <c r="F1" s="132"/>
    </row>
    <row r="2" spans="1:9" ht="14.25" x14ac:dyDescent="0.45">
      <c r="A2" s="113" t="str">
        <f>cohort &amp; " COHORT"</f>
        <v>MSA COHORT</v>
      </c>
      <c r="B2" s="59">
        <v>2008</v>
      </c>
      <c r="C2" s="59">
        <v>2009</v>
      </c>
      <c r="D2" s="59">
        <v>2010</v>
      </c>
      <c r="E2" s="59">
        <v>2011</v>
      </c>
      <c r="F2" s="59">
        <v>2012</v>
      </c>
    </row>
    <row r="3" spans="1:9" ht="14.25" x14ac:dyDescent="0.45">
      <c r="A3" s="57" t="s">
        <v>191</v>
      </c>
      <c r="B3" s="50">
        <v>7.6790293492220354E-3</v>
      </c>
      <c r="C3" s="50">
        <v>5.852277095872379E-3</v>
      </c>
      <c r="D3" s="50">
        <v>8.4021472753145685E-3</v>
      </c>
      <c r="E3" s="50">
        <v>3.3035469838124012E-2</v>
      </c>
      <c r="F3" s="50">
        <v>6.7809151515049607E-3</v>
      </c>
      <c r="G3" s="58"/>
      <c r="H3" s="60"/>
      <c r="I3" s="60"/>
    </row>
    <row r="4" spans="1:9" ht="14.25" x14ac:dyDescent="0.45">
      <c r="A4" s="57" t="s">
        <v>192</v>
      </c>
      <c r="B4" s="50">
        <v>2.4856722454647383E-3</v>
      </c>
      <c r="C4" s="50">
        <v>2.6561604163810822E-2</v>
      </c>
      <c r="D4" s="50">
        <v>1.8537998174205154E-2</v>
      </c>
      <c r="E4" s="50">
        <v>1.5634117220855791E-2</v>
      </c>
      <c r="F4" s="50">
        <v>1.2167969218575403E-2</v>
      </c>
      <c r="G4" s="58"/>
      <c r="H4" s="60"/>
      <c r="I4" s="60"/>
    </row>
    <row r="5" spans="1:9" ht="14.25" x14ac:dyDescent="0.45">
      <c r="A5" s="57" t="s">
        <v>193</v>
      </c>
      <c r="B5" s="50">
        <v>1.2516688798264732E-2</v>
      </c>
      <c r="C5" s="50">
        <v>9.8783105454869242E-3</v>
      </c>
      <c r="D5" s="50">
        <v>1.2587799534564828E-2</v>
      </c>
      <c r="E5" s="50">
        <v>9.7380283563769238E-3</v>
      </c>
      <c r="F5" s="50">
        <v>9.086763391561354E-3</v>
      </c>
      <c r="G5" s="58"/>
      <c r="H5" s="60"/>
      <c r="I5" s="60"/>
    </row>
    <row r="6" spans="1:9" ht="14.25" x14ac:dyDescent="0.45">
      <c r="A6" t="s">
        <v>78</v>
      </c>
      <c r="B6" s="50">
        <v>0</v>
      </c>
      <c r="C6" s="50">
        <v>0</v>
      </c>
      <c r="D6" s="50">
        <v>0</v>
      </c>
      <c r="E6" s="50">
        <v>1.8713091987476713E-4</v>
      </c>
      <c r="F6" s="50">
        <v>0</v>
      </c>
      <c r="G6" s="58"/>
      <c r="H6" s="60"/>
      <c r="I6" s="60"/>
    </row>
    <row r="7" spans="1:9" ht="14.25" x14ac:dyDescent="0.45">
      <c r="A7" s="57" t="s">
        <v>194</v>
      </c>
      <c r="B7" s="50">
        <v>0</v>
      </c>
      <c r="C7" s="50">
        <v>1.2473261200106651E-2</v>
      </c>
      <c r="D7" s="50">
        <v>5.7023098287242086E-2</v>
      </c>
      <c r="E7" s="50">
        <v>8.0007986132827141E-2</v>
      </c>
      <c r="F7" s="50">
        <v>3.138023712989501E-2</v>
      </c>
      <c r="G7" s="58"/>
      <c r="H7" s="60"/>
      <c r="I7" s="60"/>
    </row>
    <row r="8" spans="1:9" ht="14.25" x14ac:dyDescent="0.45">
      <c r="A8" s="57" t="s">
        <v>195</v>
      </c>
      <c r="B8" s="50">
        <v>3.44261211305348E-3</v>
      </c>
      <c r="C8" s="50">
        <v>6.0196332654195196E-3</v>
      </c>
      <c r="D8" s="50">
        <v>0</v>
      </c>
      <c r="E8" s="50">
        <v>3.1710715124871516E-2</v>
      </c>
      <c r="F8" s="50">
        <v>3.161229661446678E-3</v>
      </c>
      <c r="G8" s="58"/>
      <c r="H8" s="60"/>
      <c r="I8" s="60"/>
    </row>
    <row r="9" spans="1:9" ht="14.25" x14ac:dyDescent="0.45">
      <c r="A9" s="57" t="s">
        <v>12</v>
      </c>
      <c r="B9" s="50">
        <v>1.9453491729563795E-2</v>
      </c>
      <c r="C9" s="50">
        <v>3.3829873306224806E-2</v>
      </c>
      <c r="D9" s="50">
        <v>2.9979677201920543E-2</v>
      </c>
      <c r="E9" s="50">
        <v>1.8628700076743054E-2</v>
      </c>
      <c r="F9" s="50">
        <v>2.6449762400754018E-2</v>
      </c>
      <c r="G9" s="58"/>
      <c r="H9" s="60"/>
      <c r="I9" s="60"/>
    </row>
    <row r="10" spans="1:9" ht="14.25" x14ac:dyDescent="0.45">
      <c r="A10" s="57" t="s">
        <v>196</v>
      </c>
      <c r="B10" s="50">
        <v>6.2687827520081559E-3</v>
      </c>
      <c r="C10" s="50">
        <v>7.8418755351861852E-3</v>
      </c>
      <c r="D10" s="50">
        <v>1.3852316405915676E-2</v>
      </c>
      <c r="E10" s="50">
        <v>1.2592506187996066E-2</v>
      </c>
      <c r="F10" s="50">
        <v>9.765124161528551E-3</v>
      </c>
      <c r="G10" s="58"/>
      <c r="H10" s="60"/>
      <c r="I10" s="60"/>
    </row>
    <row r="11" spans="1:9" ht="14.25" x14ac:dyDescent="0.45">
      <c r="A11" s="57" t="s">
        <v>197</v>
      </c>
      <c r="B11" s="50">
        <v>1.9526428648913376E-2</v>
      </c>
      <c r="C11" s="50">
        <v>3.4417107228493775E-2</v>
      </c>
      <c r="D11" s="50">
        <v>3.5205930567127661E-2</v>
      </c>
      <c r="E11" s="50">
        <v>1.8578058399033374E-2</v>
      </c>
      <c r="F11" s="50">
        <v>1.987584116053082E-2</v>
      </c>
      <c r="G11" s="58"/>
      <c r="H11" s="60"/>
      <c r="I11" s="60"/>
    </row>
    <row r="12" spans="1:9" ht="14.25" x14ac:dyDescent="0.45">
      <c r="A12" s="57" t="s">
        <v>198</v>
      </c>
      <c r="B12" s="50">
        <v>6.6403925451213154E-3</v>
      </c>
      <c r="C12" s="50">
        <v>3.5744599319678548E-3</v>
      </c>
      <c r="D12" s="50">
        <v>8.9089246539119965E-4</v>
      </c>
      <c r="E12" s="50">
        <v>2.3847886656300533E-4</v>
      </c>
      <c r="F12" s="50">
        <v>5.0763238425520008E-4</v>
      </c>
      <c r="G12" s="58"/>
      <c r="H12" s="60"/>
      <c r="I12" s="60"/>
    </row>
    <row r="13" spans="1:9" ht="14.25" x14ac:dyDescent="0.45">
      <c r="A13" t="s">
        <v>91</v>
      </c>
      <c r="B13" s="50">
        <v>3.4894461923144882E-2</v>
      </c>
      <c r="C13" s="50">
        <v>1.8765973909875663E-2</v>
      </c>
      <c r="D13" s="50">
        <v>1.2370257747803684E-2</v>
      </c>
      <c r="E13" s="50">
        <v>1.6563299383338208E-2</v>
      </c>
      <c r="F13" s="50">
        <v>3.3240760644350838E-2</v>
      </c>
      <c r="G13" s="58"/>
      <c r="H13" s="60"/>
      <c r="I13" s="60"/>
    </row>
    <row r="14" spans="1:9" ht="14.25" x14ac:dyDescent="0.45">
      <c r="B14" s="13"/>
      <c r="C14" s="13"/>
      <c r="D14" s="13"/>
      <c r="E14" s="13"/>
      <c r="F14" s="13"/>
      <c r="G14" s="58"/>
      <c r="H14" s="60"/>
      <c r="I14" s="60"/>
    </row>
    <row r="15" spans="1:9" ht="14.25" x14ac:dyDescent="0.45">
      <c r="B15" s="13"/>
      <c r="C15" s="13"/>
      <c r="D15" s="13"/>
      <c r="E15" s="13"/>
      <c r="F15" s="13"/>
      <c r="G15" s="58"/>
      <c r="H15" s="60"/>
      <c r="I15" s="60"/>
    </row>
    <row r="16" spans="1:9" ht="14.25" x14ac:dyDescent="0.45">
      <c r="B16" s="58"/>
      <c r="C16" s="58"/>
      <c r="D16" s="58"/>
      <c r="E16" s="58"/>
      <c r="F16" s="58"/>
      <c r="G16" s="58"/>
      <c r="H16" s="58"/>
      <c r="I16" s="58"/>
    </row>
    <row r="17" spans="2:9" ht="14.25" x14ac:dyDescent="0.45">
      <c r="B17" s="58"/>
      <c r="C17" s="58"/>
      <c r="D17" s="58"/>
      <c r="E17" s="58"/>
      <c r="F17" s="58"/>
      <c r="G17" s="58"/>
      <c r="H17" s="58"/>
      <c r="I17" s="58"/>
    </row>
    <row r="18" spans="2:9" ht="14.25" x14ac:dyDescent="0.45">
      <c r="B18" s="58"/>
      <c r="C18" s="58"/>
      <c r="D18" s="58"/>
      <c r="E18" s="58"/>
      <c r="F18" s="58"/>
      <c r="G18" s="58"/>
      <c r="H18" s="58"/>
      <c r="I18" s="58"/>
    </row>
    <row r="19" spans="2:9" ht="14.25" x14ac:dyDescent="0.45">
      <c r="B19" s="58"/>
      <c r="C19" s="58"/>
      <c r="D19" s="58"/>
      <c r="E19" s="58"/>
      <c r="F19" s="58"/>
      <c r="G19" s="58"/>
      <c r="H19" s="58"/>
      <c r="I19" s="58"/>
    </row>
    <row r="20" spans="2:9" ht="14.25" x14ac:dyDescent="0.45">
      <c r="G20" s="58"/>
      <c r="H20" s="58"/>
      <c r="I20" s="58"/>
    </row>
    <row r="37" spans="2:9" ht="14.25" x14ac:dyDescent="0.45">
      <c r="B37" s="58"/>
      <c r="C37" s="58"/>
      <c r="D37" s="58"/>
      <c r="E37" s="58"/>
      <c r="F37" s="58"/>
      <c r="G37" s="58"/>
      <c r="H37" s="58"/>
      <c r="I37" s="58"/>
    </row>
    <row r="38" spans="2:9" x14ac:dyDescent="0.35">
      <c r="B38" s="1"/>
      <c r="C38" s="1"/>
      <c r="D38" s="1"/>
      <c r="E38" s="1"/>
      <c r="F38" s="1"/>
      <c r="G38" s="52"/>
      <c r="H38" s="1"/>
      <c r="I38" s="1"/>
    </row>
    <row r="39" spans="2:9" x14ac:dyDescent="0.35">
      <c r="B39" s="1"/>
      <c r="C39" s="1"/>
      <c r="D39" s="1"/>
      <c r="E39" s="1"/>
      <c r="F39" s="1"/>
      <c r="G39" s="52"/>
      <c r="H39" s="1"/>
      <c r="I39" s="1"/>
    </row>
    <row r="40" spans="2:9" x14ac:dyDescent="0.35">
      <c r="B40" s="1"/>
      <c r="C40" s="1"/>
      <c r="D40" s="1"/>
      <c r="E40" s="1"/>
      <c r="F40" s="1"/>
      <c r="G40" s="52"/>
      <c r="H40" s="1"/>
      <c r="I40" s="1"/>
    </row>
    <row r="70" spans="2:9" x14ac:dyDescent="0.35">
      <c r="G70" s="1"/>
      <c r="H70" s="1"/>
      <c r="I70" s="1"/>
    </row>
    <row r="71" spans="2:9" x14ac:dyDescent="0.35">
      <c r="G71" s="1"/>
      <c r="H71" s="1"/>
      <c r="I71" s="1"/>
    </row>
    <row r="72" spans="2:9" x14ac:dyDescent="0.35">
      <c r="G72" s="1"/>
      <c r="H72" s="1"/>
      <c r="I72" s="1"/>
    </row>
    <row r="73" spans="2:9" x14ac:dyDescent="0.35">
      <c r="G73" s="1"/>
      <c r="H73" s="1"/>
      <c r="I73" s="1"/>
    </row>
    <row r="76" spans="2:9" x14ac:dyDescent="0.35">
      <c r="G76" s="1"/>
      <c r="H76" s="1"/>
      <c r="I76" s="1"/>
    </row>
    <row r="77" spans="2:9" x14ac:dyDescent="0.35">
      <c r="B77" s="1"/>
      <c r="C77" s="1"/>
      <c r="D77" s="1"/>
      <c r="E77" s="1"/>
      <c r="F77" s="1"/>
      <c r="G77" s="1"/>
      <c r="H77" s="1"/>
      <c r="I77" s="1"/>
    </row>
    <row r="78" spans="2:9" x14ac:dyDescent="0.35">
      <c r="B78" s="1"/>
      <c r="C78" s="1"/>
      <c r="D78" s="1"/>
      <c r="E78" s="1"/>
      <c r="F78" s="1"/>
      <c r="G78" s="1"/>
      <c r="H78" s="1"/>
      <c r="I78" s="1"/>
    </row>
    <row r="79" spans="2:9" x14ac:dyDescent="0.35">
      <c r="B79" s="1"/>
      <c r="C79" s="1"/>
      <c r="D79" s="1"/>
      <c r="E79" s="1"/>
      <c r="F79" s="1"/>
      <c r="G79" s="1"/>
      <c r="H79" s="1"/>
      <c r="I79" s="1"/>
    </row>
    <row r="80" spans="2:9" x14ac:dyDescent="0.35">
      <c r="B80" s="1"/>
      <c r="C80" s="1"/>
      <c r="D80" s="1"/>
      <c r="E80" s="1"/>
      <c r="F80" s="1"/>
      <c r="G80" s="1"/>
      <c r="H80" s="1"/>
      <c r="I80" s="1"/>
    </row>
    <row r="81" spans="2:9" x14ac:dyDescent="0.35">
      <c r="B81" s="1"/>
      <c r="C81" s="1"/>
      <c r="D81" s="1"/>
      <c r="E81" s="1"/>
      <c r="F81" s="1"/>
      <c r="G81" s="1"/>
      <c r="H81" s="1"/>
      <c r="I81" s="1"/>
    </row>
    <row r="82" spans="2:9" x14ac:dyDescent="0.35">
      <c r="B82" s="1"/>
      <c r="C82" s="1"/>
      <c r="D82" s="1"/>
      <c r="E82" s="1"/>
      <c r="F82" s="1"/>
      <c r="G82" s="1"/>
      <c r="H82" s="1"/>
      <c r="I82" s="1"/>
    </row>
    <row r="83" spans="2:9" x14ac:dyDescent="0.35">
      <c r="B83" s="1"/>
      <c r="C83" s="1"/>
      <c r="D83" s="1"/>
      <c r="E83" s="1"/>
      <c r="F83" s="1"/>
      <c r="G83" s="1"/>
      <c r="H83" s="1"/>
      <c r="I83" s="1"/>
    </row>
    <row r="84" spans="2:9" x14ac:dyDescent="0.35">
      <c r="B84" s="1"/>
      <c r="C84" s="1"/>
      <c r="D84" s="1"/>
      <c r="E84" s="1"/>
      <c r="F84" s="1"/>
      <c r="G84" s="1"/>
      <c r="H84" s="1"/>
      <c r="I84" s="1"/>
    </row>
    <row r="85" spans="2:9" x14ac:dyDescent="0.35">
      <c r="B85" s="1"/>
      <c r="C85" s="1"/>
      <c r="D85" s="1"/>
      <c r="E85" s="1"/>
      <c r="F85" s="1"/>
      <c r="G85" s="1"/>
      <c r="H85" s="1"/>
      <c r="I85" s="1"/>
    </row>
    <row r="86" spans="2:9" x14ac:dyDescent="0.35">
      <c r="B86" s="1"/>
      <c r="C86" s="1"/>
      <c r="D86" s="1"/>
      <c r="E86" s="1"/>
      <c r="F86" s="1"/>
      <c r="G86" s="1"/>
      <c r="H86" s="1"/>
      <c r="I86" s="1"/>
    </row>
    <row r="87" spans="2:9" x14ac:dyDescent="0.35">
      <c r="B87" s="1"/>
      <c r="C87" s="1"/>
      <c r="D87" s="1"/>
      <c r="E87" s="1"/>
      <c r="F87" s="1"/>
      <c r="G87" s="1"/>
      <c r="H87" s="1"/>
      <c r="I87" s="1"/>
    </row>
    <row r="88" spans="2:9" x14ac:dyDescent="0.35">
      <c r="B88" s="1"/>
      <c r="C88" s="1"/>
      <c r="D88" s="1"/>
      <c r="E88" s="1"/>
      <c r="F88" s="1"/>
      <c r="G88" s="1"/>
      <c r="H88" s="1"/>
      <c r="I88" s="1"/>
    </row>
    <row r="89" spans="2:9" x14ac:dyDescent="0.35">
      <c r="B89" s="1"/>
      <c r="C89" s="1"/>
      <c r="D89" s="1"/>
      <c r="E89" s="1"/>
      <c r="F89" s="1"/>
      <c r="G89" s="1"/>
      <c r="H89" s="1"/>
      <c r="I89" s="1"/>
    </row>
    <row r="90" spans="2:9" x14ac:dyDescent="0.35">
      <c r="B90" s="1"/>
      <c r="C90" s="1"/>
      <c r="D90" s="1"/>
      <c r="E90" s="1"/>
      <c r="F90" s="1"/>
      <c r="G90" s="1"/>
      <c r="H90" s="1"/>
      <c r="I90" s="1"/>
    </row>
    <row r="91" spans="2:9" x14ac:dyDescent="0.35">
      <c r="B91" s="1"/>
      <c r="C91" s="1"/>
      <c r="D91" s="1"/>
      <c r="E91" s="1"/>
      <c r="F91" s="1"/>
      <c r="G91" s="1"/>
      <c r="H91" s="1"/>
      <c r="I91" s="1"/>
    </row>
    <row r="92" spans="2:9" x14ac:dyDescent="0.35">
      <c r="B92" s="1"/>
    </row>
    <row r="93" spans="2:9" x14ac:dyDescent="0.35">
      <c r="B93" s="1"/>
      <c r="C93" s="1"/>
      <c r="D93" s="1"/>
      <c r="E93" s="1"/>
      <c r="F93" s="1"/>
      <c r="G93" s="1"/>
      <c r="H93" s="1"/>
      <c r="I93" s="1"/>
    </row>
  </sheetData>
  <mergeCells count="1">
    <mergeCell ref="A1:F1"/>
  </mergeCells>
  <phoneticPr fontId="2" type="noConversion"/>
  <pageMargins left="0.75" right="0.75" top="1" bottom="1" header="0.5" footer="0.5"/>
  <pageSetup scale="97" orientation="landscape"/>
  <headerFooter alignWithMargins="0"/>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N84"/>
  <sheetViews>
    <sheetView showGridLines="0" zoomScaleNormal="100" workbookViewId="0">
      <pane ySplit="3" topLeftCell="A42" activePane="bottomLeft" state="frozen"/>
      <selection pane="bottomLeft" sqref="A1:G1"/>
    </sheetView>
  </sheetViews>
  <sheetFormatPr defaultColWidth="8.86328125" defaultRowHeight="12.75" x14ac:dyDescent="0.35"/>
  <cols>
    <col min="1" max="1" width="37.3984375" customWidth="1"/>
    <col min="2" max="2" width="11.1328125" customWidth="1"/>
    <col min="3" max="7" width="11.73046875" customWidth="1"/>
  </cols>
  <sheetData>
    <row r="1" spans="1:13" ht="30" customHeight="1" x14ac:dyDescent="0.35">
      <c r="A1" s="133" t="s">
        <v>186</v>
      </c>
      <c r="B1" s="133"/>
      <c r="C1" s="133"/>
      <c r="D1" s="133"/>
      <c r="E1" s="133"/>
      <c r="F1" s="133"/>
      <c r="G1" s="133"/>
    </row>
    <row r="2" spans="1:13" ht="13.15" x14ac:dyDescent="0.4">
      <c r="A2" s="102" t="str">
        <f>"Cert:  " &amp; cert</f>
        <v>Cert:  1</v>
      </c>
      <c r="B2" s="134" t="s">
        <v>179</v>
      </c>
      <c r="C2" s="135"/>
      <c r="D2" s="135"/>
      <c r="E2" s="136" t="s">
        <v>183</v>
      </c>
      <c r="F2" s="136"/>
      <c r="G2" s="136"/>
    </row>
    <row r="3" spans="1:13" ht="13.15" x14ac:dyDescent="0.4">
      <c r="A3" s="103" t="s">
        <v>180</v>
      </c>
      <c r="B3" s="104" t="str">
        <f>cohort</f>
        <v>MSA</v>
      </c>
      <c r="C3" s="105"/>
      <c r="D3" s="106" t="s">
        <v>181</v>
      </c>
      <c r="E3" s="107">
        <f>pctl</f>
        <v>0.9</v>
      </c>
      <c r="F3" s="108" t="s">
        <v>104</v>
      </c>
      <c r="G3" s="109">
        <f>rt</f>
        <v>0.03</v>
      </c>
    </row>
    <row r="4" spans="1:13" ht="13.15" x14ac:dyDescent="0.4">
      <c r="A4" s="30" t="s">
        <v>51</v>
      </c>
      <c r="B4" s="74" t="s">
        <v>103</v>
      </c>
      <c r="C4" s="74" t="s">
        <v>98</v>
      </c>
      <c r="D4" s="74" t="s">
        <v>99</v>
      </c>
      <c r="E4" s="74" t="s">
        <v>100</v>
      </c>
      <c r="F4" s="74" t="s">
        <v>101</v>
      </c>
      <c r="G4" s="74" t="s">
        <v>102</v>
      </c>
    </row>
    <row r="5" spans="1:13" x14ac:dyDescent="0.35">
      <c r="A5" s="14" t="s">
        <v>37</v>
      </c>
      <c r="B5" s="18">
        <f>IntBearBalances!B8</f>
        <v>6215</v>
      </c>
      <c r="C5" s="18">
        <f>IntBearBalances!C8</f>
        <v>6401.45</v>
      </c>
      <c r="D5" s="18">
        <f>IntBearBalances!D8</f>
        <v>6593.4934999999996</v>
      </c>
      <c r="E5" s="18">
        <f>IntBearBalances!E8</f>
        <v>6791.2983049999993</v>
      </c>
      <c r="F5" s="18">
        <f>IntBearBalances!F8</f>
        <v>6995.0372541499992</v>
      </c>
      <c r="G5" s="18">
        <f>IntBearBalances!G8</f>
        <v>7204.8883717744993</v>
      </c>
    </row>
    <row r="6" spans="1:13" x14ac:dyDescent="0.35">
      <c r="A6" s="57" t="s">
        <v>43</v>
      </c>
      <c r="B6" s="19">
        <f>FedFunds!B8</f>
        <v>0.01</v>
      </c>
      <c r="C6" s="19">
        <f>FedFunds!C8</f>
        <v>1.03E-2</v>
      </c>
      <c r="D6" s="19">
        <f>FedFunds!D8</f>
        <v>1.0609E-2</v>
      </c>
      <c r="E6" s="19">
        <f>FedFunds!E8</f>
        <v>1.0927270000000001E-2</v>
      </c>
      <c r="F6" s="19">
        <f>FedFunds!F8</f>
        <v>1.1255088100000001E-2</v>
      </c>
      <c r="G6" s="19">
        <f>FedFunds!G8</f>
        <v>1.1592740743000001E-2</v>
      </c>
    </row>
    <row r="7" spans="1:13" s="79" customFormat="1" x14ac:dyDescent="0.35">
      <c r="A7" t="s">
        <v>13</v>
      </c>
      <c r="B7" s="19">
        <f>Securities!B8</f>
        <v>217572</v>
      </c>
      <c r="C7" s="19">
        <f>Securities!C8</f>
        <v>224099.16</v>
      </c>
      <c r="D7" s="19">
        <f>Securities!D8</f>
        <v>230822.1348</v>
      </c>
      <c r="E7" s="19">
        <f>Securities!E8</f>
        <v>237746.798844</v>
      </c>
      <c r="F7" s="19">
        <f>Securities!F8</f>
        <v>244879.20280932001</v>
      </c>
      <c r="G7" s="19">
        <f>Securities!G8</f>
        <v>252225.57889359962</v>
      </c>
    </row>
    <row r="8" spans="1:13" s="9" customFormat="1" x14ac:dyDescent="0.35">
      <c r="A8" s="79" t="s">
        <v>105</v>
      </c>
      <c r="B8" s="62">
        <f>MULTIFAM!B8+NFR_OTHER!B8+NFR_OWN!B8+FARM!B8+CLD_OTHER!B8+CLD_RES!B8+Mortgage!B8+Consumer!B8+CI!B8+AG!B8+OTHERLOANS!B8</f>
        <v>933671.02</v>
      </c>
      <c r="C8" s="62">
        <f>MULTIFAM!C8+NFR_OTHER!C8+NFR_OWN!C8+FARM!C8+CLD_OTHER!C8+CLD_RES!C8+Mortgage!C8+Consumer!C8+CI!C8+AG!C8+OTHERLOANS!C8</f>
        <v>950894.6175640549</v>
      </c>
      <c r="D8" s="62">
        <f>MULTIFAM!D8+NFR_OTHER!D8+NFR_OWN!D8+FARM!D8+CLD_OTHER!D8+CLD_RES!D8+Mortgage!D8+Consumer!D8+CI!D8+AG!D8+OTHERLOANS!D8</f>
        <v>960139.20806822053</v>
      </c>
      <c r="E8" s="62">
        <f>MULTIFAM!E8+NFR_OTHER!E8+NFR_OWN!E8+FARM!E8+CLD_OTHER!E8+CLD_RES!E8+Mortgage!E8+Consumer!E8+CI!E8+AG!E8+OTHERLOANS!E8</f>
        <v>968103.18397678202</v>
      </c>
      <c r="F8" s="62">
        <f>MULTIFAM!F8+NFR_OTHER!F8+NFR_OWN!F8+FARM!F8+CLD_OTHER!F8+CLD_RES!F8+Mortgage!F8+Consumer!F8+CI!F8+AG!F8+OTHERLOANS!F8</f>
        <v>978733.25547222781</v>
      </c>
      <c r="G8" s="62">
        <f>MULTIFAM!G8+NFR_OTHER!G8+NFR_OWN!G8+FARM!G8+CLD_OTHER!G8+CLD_RES!G8+Mortgage!G8+Consumer!G8+CI!G8+AG!G8+OTHERLOANS!G8</f>
        <v>992484.15191410645</v>
      </c>
    </row>
    <row r="9" spans="1:13" x14ac:dyDescent="0.35">
      <c r="A9" s="80" t="s">
        <v>58</v>
      </c>
      <c r="B9" s="81">
        <f>Inputs!B35</f>
        <v>17416</v>
      </c>
      <c r="C9" s="81">
        <f>B9-C18+C26</f>
        <v>17737.27609056087</v>
      </c>
      <c r="D9" s="81">
        <f>C9-D18+D26</f>
        <v>17909.717758741328</v>
      </c>
      <c r="E9" s="81">
        <f>D9-E18+E26</f>
        <v>18058.271801281397</v>
      </c>
      <c r="F9" s="81">
        <f>E9-F18+F26</f>
        <v>18256.557194314893</v>
      </c>
      <c r="G9" s="81">
        <f>F9-G18+G26</f>
        <v>18513.056118777342</v>
      </c>
    </row>
    <row r="10" spans="1:13" x14ac:dyDescent="0.35">
      <c r="A10" s="77" t="s">
        <v>114</v>
      </c>
      <c r="B10" s="78">
        <f t="shared" ref="B10:G10" si="0">B8-B9</f>
        <v>916255.02</v>
      </c>
      <c r="C10" s="78">
        <f>C8-C9</f>
        <v>933157.34147349407</v>
      </c>
      <c r="D10" s="78">
        <f t="shared" si="0"/>
        <v>942229.49030947918</v>
      </c>
      <c r="E10" s="78">
        <f t="shared" si="0"/>
        <v>950044.91217550065</v>
      </c>
      <c r="F10" s="78">
        <f t="shared" si="0"/>
        <v>960476.69827791292</v>
      </c>
      <c r="G10" s="78">
        <f t="shared" si="0"/>
        <v>973971.09579532908</v>
      </c>
    </row>
    <row r="11" spans="1:13" x14ac:dyDescent="0.35">
      <c r="A11" t="s">
        <v>27</v>
      </c>
      <c r="B11" s="22">
        <f t="shared" ref="B11:G11" si="1">B5+B6+B7+B10</f>
        <v>1140042.03</v>
      </c>
      <c r="C11" s="19">
        <f t="shared" si="1"/>
        <v>1163657.961773494</v>
      </c>
      <c r="D11" s="19">
        <f t="shared" si="1"/>
        <v>1179645.1292184792</v>
      </c>
      <c r="E11" s="19">
        <f t="shared" si="1"/>
        <v>1194583.0202517707</v>
      </c>
      <c r="F11" s="19">
        <f t="shared" si="1"/>
        <v>1212350.9495964712</v>
      </c>
      <c r="G11" s="19">
        <f t="shared" si="1"/>
        <v>1233401.5746534439</v>
      </c>
    </row>
    <row r="12" spans="1:13" x14ac:dyDescent="0.35">
      <c r="A12" s="41" t="s">
        <v>34</v>
      </c>
      <c r="B12" s="28">
        <f>Inputs!B37</f>
        <v>95637</v>
      </c>
      <c r="C12" s="21">
        <f>$B$12/$B$11*C11</f>
        <v>97618.117193566664</v>
      </c>
      <c r="D12" s="21">
        <f>$B$12/$B$11*D11</f>
        <v>98959.264881723429</v>
      </c>
      <c r="E12" s="21">
        <f>$B$12/$B$11*E11</f>
        <v>100212.3898079605</v>
      </c>
      <c r="F12" s="21">
        <f>$B$12/$B$11*F11</f>
        <v>101702.92385321768</v>
      </c>
      <c r="G12" s="21">
        <f>$B$12/$B$11*G11</f>
        <v>103468.83999981247</v>
      </c>
      <c r="H12" s="43"/>
      <c r="I12" s="43"/>
      <c r="J12" s="43"/>
      <c r="K12" s="43"/>
      <c r="L12" s="43"/>
      <c r="M12" s="43"/>
    </row>
    <row r="13" spans="1:13" x14ac:dyDescent="0.35">
      <c r="A13" t="s">
        <v>35</v>
      </c>
      <c r="B13" s="22">
        <f t="shared" ref="B13:F13" si="2">B11+B12</f>
        <v>1235679.03</v>
      </c>
      <c r="C13" s="19">
        <f t="shared" si="2"/>
        <v>1261276.0789670607</v>
      </c>
      <c r="D13" s="19">
        <f t="shared" si="2"/>
        <v>1278604.3941002025</v>
      </c>
      <c r="E13" s="19">
        <f t="shared" si="2"/>
        <v>1294795.4100597312</v>
      </c>
      <c r="F13" s="19">
        <f t="shared" si="2"/>
        <v>1314053.8734496888</v>
      </c>
      <c r="G13" s="19">
        <f>G11+G12</f>
        <v>1336870.4146532563</v>
      </c>
    </row>
    <row r="14" spans="1:13" x14ac:dyDescent="0.35">
      <c r="A14" s="57" t="s">
        <v>26</v>
      </c>
      <c r="B14" s="22">
        <f>Inputs!B38</f>
        <v>1106691</v>
      </c>
      <c r="C14" s="19">
        <f>C13-C15</f>
        <v>1131299.6316952324</v>
      </c>
      <c r="D14" s="19">
        <f>D13-D15</f>
        <v>1151341.749917238</v>
      </c>
      <c r="E14" s="19">
        <f>E13-E15</f>
        <v>1171143.0779818711</v>
      </c>
      <c r="F14" s="19">
        <f>F13-F15</f>
        <v>1192278.926729196</v>
      </c>
      <c r="G14" s="19">
        <f>G13-G15</f>
        <v>1215042.1464379644</v>
      </c>
    </row>
    <row r="15" spans="1:13" x14ac:dyDescent="0.35">
      <c r="A15" t="s">
        <v>6</v>
      </c>
      <c r="B15" s="22">
        <f>B13-B14</f>
        <v>128988.03000000003</v>
      </c>
      <c r="C15" s="19">
        <f>B15+C32</f>
        <v>129976.44727182839</v>
      </c>
      <c r="D15" s="19">
        <f>C15+D32</f>
        <v>127262.64418296442</v>
      </c>
      <c r="E15" s="19">
        <f>D15+E32</f>
        <v>123652.33207786021</v>
      </c>
      <c r="F15" s="19">
        <f>E15+F32</f>
        <v>121774.94672049274</v>
      </c>
      <c r="G15" s="19">
        <f>F15+G32</f>
        <v>121828.2682152918</v>
      </c>
    </row>
    <row r="16" spans="1:13" x14ac:dyDescent="0.35">
      <c r="B16" s="19"/>
      <c r="C16" s="19"/>
      <c r="D16" s="19"/>
      <c r="E16" s="19"/>
      <c r="F16" s="19"/>
      <c r="G16" s="19"/>
      <c r="L16" s="19"/>
    </row>
    <row r="17" spans="1:14" ht="13.15" x14ac:dyDescent="0.4">
      <c r="A17" s="30" t="s">
        <v>187</v>
      </c>
      <c r="B17" s="74" t="s">
        <v>103</v>
      </c>
      <c r="C17" s="74" t="s">
        <v>98</v>
      </c>
      <c r="D17" s="74" t="s">
        <v>99</v>
      </c>
      <c r="E17" s="74" t="s">
        <v>100</v>
      </c>
      <c r="F17" s="74" t="s">
        <v>101</v>
      </c>
      <c r="G17" s="74" t="s">
        <v>102</v>
      </c>
    </row>
    <row r="18" spans="1:14" x14ac:dyDescent="0.35">
      <c r="A18" s="115" t="s">
        <v>188</v>
      </c>
      <c r="B18" s="29">
        <f>MULTIFAM!B10+NFR_OTHER!B10+NFR_OWN!B10+FARM!B10+CLD_OTHER!B10+CLD_RES!B10+Mortgage!B10+Consumer!B10+CI!B10+AG!B10+OTHERLOANS!B10+Securities!B10+FedFunds!B13+IntBearBalances!B13</f>
        <v>3202</v>
      </c>
      <c r="C18" s="29">
        <f>MULTIFAM!C10+NFR_OTHER!C10+NFR_OWN!C10+FARM!C10+CLD_OTHER!C10+CLD_RES!C10+Mortgage!C10+Consumer!C10+CI!C10+AG!C10+OTHERLOANS!C10+Securities!C10+FedFunds!C13+IntBearBalances!C13</f>
        <v>10786.533035945205</v>
      </c>
      <c r="D18" s="29">
        <f>MULTIFAM!D10+NFR_OTHER!D10+NFR_OWN!D10+FARM!D10+CLD_OTHER!D10+CLD_RES!D10+Mortgage!D10+Consumer!D10+CI!D10+AG!D10+OTHERLOANS!D10+Securities!D10+FedFunds!D13+IntBearBalances!D13</f>
        <v>19282.248022755735</v>
      </c>
      <c r="E18" s="29">
        <f>MULTIFAM!E10+NFR_OTHER!E10+NFR_OWN!E10+FARM!E10+CLD_OTHER!E10+CLD_RES!E10+Mortgage!E10+Consumer!E10+CI!E10+AG!E10+OTHERLOANS!E10+Securities!E10+FedFunds!E13+IntBearBalances!E13</f>
        <v>20840.2003334853</v>
      </c>
      <c r="F18" s="29">
        <f>MULTIFAM!F10+NFR_OTHER!F10+NFR_OWN!F10+FARM!F10+CLD_OTHER!F10+CLD_RES!F10+Mortgage!F10+Consumer!F10+CI!F10+AG!F10+OTHERLOANS!F10+Securities!F10+FedFunds!F13+IntBearBalances!F13</f>
        <v>18413.024023857863</v>
      </c>
      <c r="G18" s="29">
        <f>MULTIFAM!G10+NFR_OTHER!G10+NFR_OWN!G10+FARM!G10+CLD_OTHER!G10+CLD_RES!G10+Mortgage!G10+Consumer!G10+CI!G10+AG!G10+OTHERLOANS!G10+Securities!G10+FedFunds!G13+IntBearBalances!G13</f>
        <v>15611.101222288002</v>
      </c>
      <c r="H18" s="50"/>
    </row>
    <row r="20" spans="1:14" ht="13.15" x14ac:dyDescent="0.4">
      <c r="A20" s="30" t="s">
        <v>67</v>
      </c>
      <c r="B20" s="74" t="s">
        <v>103</v>
      </c>
      <c r="C20" s="74" t="s">
        <v>98</v>
      </c>
      <c r="D20" s="74" t="s">
        <v>99</v>
      </c>
      <c r="E20" s="74" t="s">
        <v>100</v>
      </c>
      <c r="F20" s="74" t="s">
        <v>101</v>
      </c>
      <c r="G20" s="74" t="s">
        <v>102</v>
      </c>
    </row>
    <row r="21" spans="1:14" x14ac:dyDescent="0.35">
      <c r="A21" t="s">
        <v>53</v>
      </c>
      <c r="B21" s="62">
        <f>MULTIFAM!J10+NFR_OTHER!J10+NFR_OWN!J10+FARM!J10+CLD_OTHER!J10+CLD_RES!J10+Mortgage!J10+Consumer!J10+CI!J10+AG!J10+OTHERLOANS!J10+Securities!J10+FedFunds!J10+IntBearBalances!J10</f>
        <v>41718.181375119784</v>
      </c>
      <c r="C21" s="62">
        <f>MULTIFAM!K10+NFR_OTHER!K10+NFR_OWN!K10+FARM!K10+CLD_OTHER!K10+CLD_RES!K10+Mortgage!K10+Consumer!K10+CI!K10+AG!K10+OTHERLOANS!K10+Securities!K10+FedFunds!K10+IntBearBalances!K10</f>
        <v>42590.859273445392</v>
      </c>
      <c r="D21" s="62">
        <f>MULTIFAM!L10+NFR_OTHER!L10+NFR_OWN!L10+FARM!L10+CLD_OTHER!L10+CLD_RES!L10+Mortgage!L10+Consumer!L10+CI!L10+AG!L10+OTHERLOANS!L10+Securities!L10+FedFunds!L10+IntBearBalances!L10</f>
        <v>43218.002285156384</v>
      </c>
      <c r="E21" s="62">
        <f>MULTIFAM!M10+NFR_OTHER!M10+NFR_OWN!M10+FARM!M10+CLD_OTHER!M10+CLD_RES!M10+Mortgage!M10+Consumer!M10+CI!M10+AG!M10+OTHERLOANS!M10+Securities!M10+FedFunds!M10+IntBearBalances!M10</f>
        <v>43766.200572840069</v>
      </c>
      <c r="F21" s="62">
        <f>MULTIFAM!N10+NFR_OTHER!N10+NFR_OWN!N10+FARM!N10+CLD_OTHER!N10+CLD_RES!N10+Mortgage!N10+Consumer!N10+CI!N10+AG!N10+OTHERLOANS!N10+Securities!N10+FedFunds!N10+IntBearBalances!N10</f>
        <v>44394.147071592182</v>
      </c>
      <c r="G21" s="62">
        <f>MULTIFAM!O10+NFR_OTHER!O10+NFR_OWN!O10+FARM!O10+CLD_OTHER!O10+CLD_RES!O10+Mortgage!O10+Consumer!O10+CI!O10+AG!O10+OTHERLOANS!O10+Securities!O10+FedFunds!O10+IntBearBalances!O10</f>
        <v>45167.118182533835</v>
      </c>
      <c r="H21" s="48"/>
      <c r="I21" s="45"/>
    </row>
    <row r="22" spans="1:14" x14ac:dyDescent="0.35">
      <c r="A22" t="s">
        <v>44</v>
      </c>
      <c r="B22" s="62">
        <f>Inputs!B28*(4/qtr)</f>
        <v>4789</v>
      </c>
      <c r="C22" s="62">
        <f>$B$22/$B$13*C13</f>
        <v>4888.2039716845029</v>
      </c>
      <c r="D22" s="62">
        <f>$B$22/$B$13*D13</f>
        <v>4955.3616227879738</v>
      </c>
      <c r="E22" s="62">
        <f>$B$22/$B$13*E13</f>
        <v>5018.1115550500626</v>
      </c>
      <c r="F22" s="62">
        <f>$B$22/$B$13*F13</f>
        <v>5092.7496924104635</v>
      </c>
      <c r="G22" s="62">
        <f>$B$22/$B$13*G13</f>
        <v>5181.1775229158375</v>
      </c>
      <c r="H22" s="50"/>
      <c r="I22" s="50"/>
      <c r="J22" s="50"/>
      <c r="K22" s="50"/>
      <c r="L22" s="50"/>
      <c r="M22" s="50"/>
      <c r="N22" s="50"/>
    </row>
    <row r="23" spans="1:14" x14ac:dyDescent="0.35">
      <c r="A23" t="s">
        <v>54</v>
      </c>
      <c r="B23" s="62">
        <f>(B21-B22)</f>
        <v>36929.181375119784</v>
      </c>
      <c r="C23" s="62">
        <f>C21-C22</f>
        <v>37702.655301760889</v>
      </c>
      <c r="D23" s="62">
        <f>D21-D22</f>
        <v>38262.640662368409</v>
      </c>
      <c r="E23" s="62">
        <f>E21-E22</f>
        <v>38748.089017790007</v>
      </c>
      <c r="F23" s="62">
        <f>F21-F22</f>
        <v>39301.397379181719</v>
      </c>
      <c r="G23" s="62">
        <f>G21-G22</f>
        <v>39985.940659617998</v>
      </c>
    </row>
    <row r="24" spans="1:14" x14ac:dyDescent="0.35">
      <c r="A24" t="s">
        <v>22</v>
      </c>
      <c r="B24" s="62">
        <f>Inputs!B29*(4/qtr)</f>
        <v>35090</v>
      </c>
      <c r="C24" s="62">
        <f>$B24/$B13*C13</f>
        <v>35816.888153353349</v>
      </c>
      <c r="D24" s="62">
        <f>$B24/$B13*D13</f>
        <v>36308.966244232623</v>
      </c>
      <c r="E24" s="62">
        <f>$B24/$B13*E13</f>
        <v>36768.748061538252</v>
      </c>
      <c r="F24" s="62">
        <f>$B24/$B13*F13</f>
        <v>37315.637232550253</v>
      </c>
      <c r="G24" s="62">
        <f>$B24/$B13*G13</f>
        <v>37963.566356048599</v>
      </c>
    </row>
    <row r="25" spans="1:14" x14ac:dyDescent="0.35">
      <c r="A25" t="s">
        <v>21</v>
      </c>
      <c r="B25" s="62">
        <f>Inputs!B30*(4/qtr)</f>
        <v>12999</v>
      </c>
      <c r="C25" s="62">
        <f>$B25/$B13*C13</f>
        <v>13268.273841705333</v>
      </c>
      <c r="D25" s="62">
        <f>$B25/$B13*D13</f>
        <v>13450.562901361634</v>
      </c>
      <c r="E25" s="62">
        <f>$B25/$B13*E13</f>
        <v>13620.887889767333</v>
      </c>
      <c r="F25" s="62">
        <f>$B25/$B13*F13</f>
        <v>13823.481572696513</v>
      </c>
      <c r="G25" s="62">
        <f>$B25/$B13*G13</f>
        <v>14063.505245433904</v>
      </c>
    </row>
    <row r="26" spans="1:14" x14ac:dyDescent="0.35">
      <c r="A26" t="s">
        <v>2</v>
      </c>
      <c r="B26" s="62">
        <f>Inputs!B31*4/qtr</f>
        <v>3113</v>
      </c>
      <c r="C26" s="62">
        <f>C67*B9+MULTIFAM!K11+NFR_OTHER!K11+NFR_OWN!K11+FARM!K11+CLD_OTHER!K11+CLD_RES!K11+Mortgage!K11+Consumer!K11+CI!K11+AG!K11+OTHERLOANS!K11+Securities!K11+FedFunds!K11+IntBearBalances!K11</f>
        <v>11107.809126506076</v>
      </c>
      <c r="D26" s="62">
        <f>D67*C9+MULTIFAM!L11+NFR_OTHER!L11+NFR_OWN!L11+FARM!L11+CLD_OTHER!L11+CLD_RES!L11+Mortgage!L11+Consumer!L11+CI!L11+AG!L11+OTHERLOANS!L11+Securities!L11+FedFunds!L11+IntBearBalances!L11</f>
        <v>19454.689690936193</v>
      </c>
      <c r="E26" s="62">
        <f>E67*D9+MULTIFAM!M11+NFR_OTHER!M11+NFR_OWN!M11+FARM!M11+CLD_OTHER!M11+CLD_RES!M11+Mortgage!M11+Consumer!M11+CI!M11+AG!M11+OTHERLOANS!M11+Securities!M11+FedFunds!M11+IntBearBalances!M11</f>
        <v>20988.754376025368</v>
      </c>
      <c r="F26" s="62">
        <f>F67*E9+MULTIFAM!N11+NFR_OTHER!N11+NFR_OWN!N11+FARM!N11+CLD_OTHER!N11+CLD_RES!N11+Mortgage!N11+Consumer!N11+CI!N11+AG!N11+OTHERLOANS!N11+Securities!N11+FedFunds!N11+IntBearBalances!N11</f>
        <v>18611.309416891359</v>
      </c>
      <c r="G26" s="62">
        <f>G67*F9+MULTIFAM!O11+NFR_OTHER!O11+NFR_OWN!O11+FARM!O11+CLD_OTHER!O11+CLD_RES!O11+Mortgage!O11+Consumer!O11+CI!O11+AG!O11+OTHERLOANS!O11+Securities!O11+FedFunds!O11+IntBearBalances!O11</f>
        <v>15867.600146750452</v>
      </c>
    </row>
    <row r="27" spans="1:14" x14ac:dyDescent="0.35">
      <c r="A27" t="s">
        <v>36</v>
      </c>
      <c r="B27" s="62">
        <f>Inputs!B32*4/qtr</f>
        <v>-5</v>
      </c>
      <c r="C27" s="62">
        <f>IF(SecRule=TRUE,$B27/$B13*C13,0)</f>
        <v>0</v>
      </c>
      <c r="D27" s="62">
        <f>IF(SecRule=TRUE,$B27/$B13*D13,0)</f>
        <v>0</v>
      </c>
      <c r="E27" s="62">
        <f>IF(SecRule=TRUE,$B27/$B13*E13,0)</f>
        <v>0</v>
      </c>
      <c r="F27" s="62">
        <f>IF(SecRule=TRUE,$B27/$B13*F13,0)</f>
        <v>0</v>
      </c>
      <c r="G27" s="62">
        <f>IF(SecRule=TRUE,$B27/$B13*G13,0)</f>
        <v>0</v>
      </c>
    </row>
    <row r="28" spans="1:14" x14ac:dyDescent="0.35">
      <c r="A28" t="s">
        <v>9</v>
      </c>
      <c r="B28" s="62">
        <f t="shared" ref="B28:G28" si="3">B23-B24+B25-B26+B27</f>
        <v>11720.181375119784</v>
      </c>
      <c r="C28" s="62">
        <f t="shared" si="3"/>
        <v>4046.2318636067976</v>
      </c>
      <c r="D28" s="62">
        <f t="shared" si="3"/>
        <v>-4050.4523714387724</v>
      </c>
      <c r="E28" s="62">
        <f t="shared" si="3"/>
        <v>-5388.52553000628</v>
      </c>
      <c r="F28" s="62">
        <f t="shared" si="3"/>
        <v>-2802.0676975633796</v>
      </c>
      <c r="G28" s="62">
        <f t="shared" si="3"/>
        <v>218.27940225285056</v>
      </c>
      <c r="I28" s="19"/>
    </row>
    <row r="29" spans="1:14" x14ac:dyDescent="0.35">
      <c r="A29" t="s">
        <v>8</v>
      </c>
      <c r="B29" s="62">
        <f>Inputs!B33*4/qtr</f>
        <v>3379</v>
      </c>
      <c r="C29" s="62">
        <f>0.33*C28</f>
        <v>1335.2565149902432</v>
      </c>
      <c r="D29" s="62">
        <f>0.33*D28</f>
        <v>-1336.6492825747951</v>
      </c>
      <c r="E29" s="62">
        <f>0.33*E28</f>
        <v>-1778.2134249020726</v>
      </c>
      <c r="F29" s="62">
        <f>0.33*F28</f>
        <v>-924.68234019591534</v>
      </c>
      <c r="G29" s="62">
        <f>0.33*G28</f>
        <v>72.032202743440692</v>
      </c>
      <c r="H29" s="13"/>
      <c r="I29" s="13"/>
      <c r="J29" s="13"/>
      <c r="K29" s="13"/>
      <c r="L29" s="13"/>
    </row>
    <row r="30" spans="1:14" x14ac:dyDescent="0.35">
      <c r="A30" t="s">
        <v>3</v>
      </c>
      <c r="B30" s="62">
        <f t="shared" ref="B30:G30" si="4">B28-B29</f>
        <v>8341.1813751197842</v>
      </c>
      <c r="C30" s="62">
        <f t="shared" si="4"/>
        <v>2710.9753486165546</v>
      </c>
      <c r="D30" s="62">
        <f t="shared" si="4"/>
        <v>-2713.8030888639773</v>
      </c>
      <c r="E30" s="62">
        <f t="shared" si="4"/>
        <v>-3610.3121051042071</v>
      </c>
      <c r="F30" s="62">
        <f t="shared" si="4"/>
        <v>-1877.3853573674642</v>
      </c>
      <c r="G30" s="62">
        <f t="shared" si="4"/>
        <v>146.24719950940988</v>
      </c>
    </row>
    <row r="31" spans="1:14" x14ac:dyDescent="0.35">
      <c r="A31" t="s">
        <v>4</v>
      </c>
      <c r="B31" s="62">
        <f>Inputs!B34*4/qtr</f>
        <v>5300</v>
      </c>
      <c r="C31" s="62">
        <f>IF(DivRule=TRUE,MAX(0,Results!C$30),MAX(0,MIN(ABS($B31/$B30*C$30),C$30)))</f>
        <v>1722.5580767881822</v>
      </c>
      <c r="D31" s="62">
        <f>IF(DivRule=TRUE,MAX(0,Results!D$30),MAX(0,MIN(ABS($B31/$B30*D$30),D$30)))</f>
        <v>0</v>
      </c>
      <c r="E31" s="62">
        <f>IF(DivRule=TRUE,MAX(0,Results!E$30),MAX(0,MIN(ABS($B31/$B30*E$30),E$30)))</f>
        <v>0</v>
      </c>
      <c r="F31" s="62">
        <f>IF(DivRule=TRUE,MAX(0,Results!F$30),MAX(0,MIN(ABS($B31/$B30*F$30),F$30)))</f>
        <v>0</v>
      </c>
      <c r="G31" s="62">
        <f>IF(DivRule=TRUE,MAX(0,Results!G$30),MAX(0,MIN(ABS($B31/$B30*G$30),G$30)))</f>
        <v>92.92570471035242</v>
      </c>
    </row>
    <row r="32" spans="1:14" x14ac:dyDescent="0.35">
      <c r="A32" t="s">
        <v>5</v>
      </c>
      <c r="B32" s="62">
        <f t="shared" ref="B32:G32" si="5">B30-B31</f>
        <v>3041.1813751197842</v>
      </c>
      <c r="C32" s="62">
        <f t="shared" si="5"/>
        <v>988.41727182837235</v>
      </c>
      <c r="D32" s="62">
        <f t="shared" si="5"/>
        <v>-2713.8030888639773</v>
      </c>
      <c r="E32" s="62">
        <f t="shared" si="5"/>
        <v>-3610.3121051042071</v>
      </c>
      <c r="F32" s="62">
        <f t="shared" si="5"/>
        <v>-1877.3853573674642</v>
      </c>
      <c r="G32" s="62">
        <f t="shared" si="5"/>
        <v>53.321494799057461</v>
      </c>
    </row>
    <row r="33" spans="1:7" x14ac:dyDescent="0.35">
      <c r="B33" s="1"/>
      <c r="C33" s="1"/>
      <c r="D33" s="1"/>
      <c r="E33" s="1"/>
      <c r="F33" s="1"/>
      <c r="G33" s="1"/>
    </row>
    <row r="34" spans="1:7" ht="13.15" x14ac:dyDescent="0.4">
      <c r="A34" s="30" t="s">
        <v>189</v>
      </c>
      <c r="B34" s="74" t="s">
        <v>103</v>
      </c>
      <c r="C34" s="74" t="s">
        <v>98</v>
      </c>
      <c r="D34" s="74" t="s">
        <v>99</v>
      </c>
      <c r="E34" s="74" t="s">
        <v>100</v>
      </c>
      <c r="F34" s="74" t="s">
        <v>101</v>
      </c>
      <c r="G34" s="74" t="s">
        <v>102</v>
      </c>
    </row>
    <row r="35" spans="1:7" x14ac:dyDescent="0.35">
      <c r="A35" s="94" t="s">
        <v>71</v>
      </c>
      <c r="B35" s="12">
        <f>(MULTIFAM!B10+NFR_OTHER!B10+NFR_OWN!B10+FARM!B10+CLD_OTHER!B10+CLD_RES!B10)/B55</f>
        <v>2.6506995193673337E-3</v>
      </c>
      <c r="C35" s="12">
        <f>(MULTIFAM!C10+NFR_OTHER!C10+NFR_OWN!C10+FARM!C10+CLD_OTHER!C10+CLD_RES!C10)/C55</f>
        <v>7.2695564542219551E-3</v>
      </c>
      <c r="D35" s="12">
        <f>(MULTIFAM!D10+NFR_OTHER!D10+NFR_OWN!D10+FARM!D10+CLD_OTHER!D10+CLD_RES!D10)/D55</f>
        <v>1.5411981553904613E-2</v>
      </c>
      <c r="E35" s="12">
        <f>(MULTIFAM!E10+NFR_OTHER!E10+NFR_OWN!E10+FARM!E10+CLD_OTHER!E10+CLD_RES!E10)/E55</f>
        <v>1.794512621046675E-2</v>
      </c>
      <c r="F35" s="12">
        <f>(MULTIFAM!F10+NFR_OTHER!F10+NFR_OWN!F10+FARM!F10+CLD_OTHER!F10+CLD_RES!F10)/F55</f>
        <v>2.1641889320346205E-2</v>
      </c>
      <c r="G35" s="12">
        <f>(MULTIFAM!G10+NFR_OTHER!G10+NFR_OWN!G10+FARM!G10+CLD_OTHER!G10+CLD_RES!G10)/G55</f>
        <v>1.1576499412983268E-2</v>
      </c>
    </row>
    <row r="36" spans="1:7" x14ac:dyDescent="0.35">
      <c r="A36" s="116" t="s">
        <v>199</v>
      </c>
      <c r="B36" s="12">
        <f>MULTIFAM!B7</f>
        <v>1.2042725495671599E-3</v>
      </c>
      <c r="C36" s="12">
        <f>MULTIFAM!C7</f>
        <v>7.6790293492220354E-3</v>
      </c>
      <c r="D36" s="12">
        <f>MULTIFAM!D7</f>
        <v>5.852277095872379E-3</v>
      </c>
      <c r="E36" s="12">
        <f>MULTIFAM!E7</f>
        <v>8.4021472753145685E-3</v>
      </c>
      <c r="F36" s="12">
        <f>MULTIFAM!F7</f>
        <v>3.3035469838124012E-2</v>
      </c>
      <c r="G36" s="12">
        <f>MULTIFAM!G7</f>
        <v>6.7809151515049607E-3</v>
      </c>
    </row>
    <row r="37" spans="1:7" x14ac:dyDescent="0.35">
      <c r="A37" s="116" t="s">
        <v>200</v>
      </c>
      <c r="B37" s="12">
        <f>NFR_OTHER!B7</f>
        <v>5.2438202793462932E-3</v>
      </c>
      <c r="C37" s="12">
        <f>NFR_OTHER!C7</f>
        <v>2.4856722454647383E-3</v>
      </c>
      <c r="D37" s="12">
        <f>NFR_OTHER!D7</f>
        <v>2.6561604163810822E-2</v>
      </c>
      <c r="E37" s="12">
        <f>NFR_OTHER!E7</f>
        <v>1.8537998174205154E-2</v>
      </c>
      <c r="F37" s="12">
        <f>NFR_OTHER!F7</f>
        <v>1.5634117220855791E-2</v>
      </c>
      <c r="G37" s="12">
        <f>NFR_OTHER!G7</f>
        <v>1.2167969218575403E-2</v>
      </c>
    </row>
    <row r="38" spans="1:7" x14ac:dyDescent="0.35">
      <c r="A38" s="116" t="s">
        <v>201</v>
      </c>
      <c r="B38" s="12">
        <f>NFR_OWN!B7</f>
        <v>8.6231031972674847E-4</v>
      </c>
      <c r="C38" s="12">
        <f>NFR_OWN!C7</f>
        <v>1.2516688798264732E-2</v>
      </c>
      <c r="D38" s="12">
        <f>NFR_OWN!D7</f>
        <v>9.8783105454869242E-3</v>
      </c>
      <c r="E38" s="12">
        <f>NFR_OWN!E7</f>
        <v>1.2587799534564828E-2</v>
      </c>
      <c r="F38" s="12">
        <f>NFR_OWN!F7</f>
        <v>9.7380283563769238E-3</v>
      </c>
      <c r="G38" s="12">
        <f>NFR_OWN!G7</f>
        <v>9.086763391561354E-3</v>
      </c>
    </row>
    <row r="39" spans="1:7" x14ac:dyDescent="0.35">
      <c r="A39" s="116" t="s">
        <v>202</v>
      </c>
      <c r="B39" s="12">
        <f>FARM!B7</f>
        <v>0</v>
      </c>
      <c r="C39" s="12">
        <f>FARM!C7</f>
        <v>0</v>
      </c>
      <c r="D39" s="12">
        <f>FARM!D7</f>
        <v>0</v>
      </c>
      <c r="E39" s="12">
        <f>FARM!E7</f>
        <v>0</v>
      </c>
      <c r="F39" s="12">
        <f>FARM!F7</f>
        <v>1.8713091987476713E-4</v>
      </c>
      <c r="G39" s="12">
        <f>FARM!G7</f>
        <v>0</v>
      </c>
    </row>
    <row r="40" spans="1:7" x14ac:dyDescent="0.35">
      <c r="A40" s="116" t="s">
        <v>203</v>
      </c>
      <c r="B40" s="12">
        <f>CLD_OTHER!B7</f>
        <v>3.1130334168985373E-3</v>
      </c>
      <c r="C40" s="12">
        <f>CLD_OTHER!C7</f>
        <v>0</v>
      </c>
      <c r="D40" s="12">
        <f>CLD_OTHER!D7</f>
        <v>1.2473261200106651E-2</v>
      </c>
      <c r="E40" s="12">
        <f>CLD_OTHER!E7</f>
        <v>5.7023098287242086E-2</v>
      </c>
      <c r="F40" s="12">
        <f>CLD_OTHER!F7</f>
        <v>8.0007986132827141E-2</v>
      </c>
      <c r="G40" s="12">
        <f>CLD_OTHER!G7</f>
        <v>3.138023712989501E-2</v>
      </c>
    </row>
    <row r="41" spans="1:7" x14ac:dyDescent="0.35">
      <c r="A41" s="116" t="s">
        <v>204</v>
      </c>
      <c r="B41" s="12">
        <f>CLD_RES!B7</f>
        <v>4.1904761904761906E-3</v>
      </c>
      <c r="C41" s="12">
        <f>CLD_RES!C7</f>
        <v>3.44261211305348E-3</v>
      </c>
      <c r="D41" s="12">
        <f>CLD_RES!D7</f>
        <v>6.0196332654195196E-3</v>
      </c>
      <c r="E41" s="12">
        <f>CLD_RES!E7</f>
        <v>0</v>
      </c>
      <c r="F41" s="12">
        <f>CLD_RES!F7</f>
        <v>3.1710715124871516E-2</v>
      </c>
      <c r="G41" s="12">
        <f>CLD_RES!G7</f>
        <v>3.161229661446678E-3</v>
      </c>
    </row>
    <row r="42" spans="1:7" x14ac:dyDescent="0.35">
      <c r="A42" s="94" t="s">
        <v>141</v>
      </c>
      <c r="B42" s="12">
        <f>Mortgage!B7</f>
        <v>8.2408189533807966E-3</v>
      </c>
      <c r="C42" s="12">
        <f>Mortgage!C7</f>
        <v>6.2687827520081559E-3</v>
      </c>
      <c r="D42" s="12">
        <f>Mortgage!D7</f>
        <v>7.8418755351861852E-3</v>
      </c>
      <c r="E42" s="12">
        <f>Mortgage!E7</f>
        <v>1.3852316405915676E-2</v>
      </c>
      <c r="F42" s="12">
        <f>Mortgage!F7</f>
        <v>1.2592506187996066E-2</v>
      </c>
      <c r="G42" s="12">
        <f>Mortgage!G7</f>
        <v>9.765124161528551E-3</v>
      </c>
    </row>
    <row r="43" spans="1:7" x14ac:dyDescent="0.35">
      <c r="A43" s="94" t="s">
        <v>40</v>
      </c>
      <c r="B43" s="12">
        <f>Consumer!B7</f>
        <v>1.8737672583826429E-3</v>
      </c>
      <c r="C43" s="12">
        <f>Consumer!C7</f>
        <v>1.9453491729563795E-2</v>
      </c>
      <c r="D43" s="12">
        <f>Consumer!D7</f>
        <v>3.3829873306224806E-2</v>
      </c>
      <c r="E43" s="12">
        <f>Consumer!E7</f>
        <v>2.9979677201920543E-2</v>
      </c>
      <c r="F43" s="12">
        <f>Consumer!F7</f>
        <v>1.8628700076743054E-2</v>
      </c>
      <c r="G43" s="12">
        <f>Consumer!G7</f>
        <v>2.6449762400754018E-2</v>
      </c>
    </row>
    <row r="44" spans="1:7" x14ac:dyDescent="0.35">
      <c r="A44" s="94" t="s">
        <v>41</v>
      </c>
      <c r="B44" s="12">
        <f>CI!B7</f>
        <v>2.8542478343394556E-5</v>
      </c>
      <c r="C44" s="12">
        <f>CI!C7</f>
        <v>1.9526428648913376E-2</v>
      </c>
      <c r="D44" s="12">
        <f>CI!D7</f>
        <v>3.4417107228493775E-2</v>
      </c>
      <c r="E44" s="12">
        <f>CI!E7</f>
        <v>3.5205930567127661E-2</v>
      </c>
      <c r="F44" s="12">
        <f>CI!F7</f>
        <v>1.8578058399033374E-2</v>
      </c>
      <c r="G44" s="12">
        <f>CI!G7</f>
        <v>1.987584116053082E-2</v>
      </c>
    </row>
    <row r="45" spans="1:7" x14ac:dyDescent="0.35">
      <c r="A45" s="94" t="s">
        <v>205</v>
      </c>
      <c r="B45" s="12">
        <f>AG!B7</f>
        <v>0</v>
      </c>
      <c r="C45" s="12">
        <f>AG!C7</f>
        <v>6.6403925451213154E-3</v>
      </c>
      <c r="D45" s="12">
        <f>AG!D7</f>
        <v>3.5744599319678548E-3</v>
      </c>
      <c r="E45" s="12">
        <f>AG!E7</f>
        <v>8.9089246539119965E-4</v>
      </c>
      <c r="F45" s="12">
        <f>AG!F7</f>
        <v>2.3847886656300533E-4</v>
      </c>
      <c r="G45" s="12">
        <f>AG!G7</f>
        <v>5.0763238425520008E-4</v>
      </c>
    </row>
    <row r="46" spans="1:7" x14ac:dyDescent="0.35">
      <c r="A46" s="94" t="s">
        <v>95</v>
      </c>
      <c r="B46" s="12">
        <f>OTHERLOANS!B7</f>
        <v>0</v>
      </c>
      <c r="C46" s="12">
        <f>OTHERLOANS!C7</f>
        <v>3.4894461923144882E-2</v>
      </c>
      <c r="D46" s="12">
        <f>OTHERLOANS!D7</f>
        <v>1.8765973909875663E-2</v>
      </c>
      <c r="E46" s="12">
        <f>OTHERLOANS!E7</f>
        <v>1.2370257747803684E-2</v>
      </c>
      <c r="F46" s="12">
        <f>OTHERLOANS!F7</f>
        <v>1.6563299383338208E-2</v>
      </c>
      <c r="G46" s="12">
        <f>OTHERLOANS!G7</f>
        <v>3.3240760644350838E-2</v>
      </c>
    </row>
    <row r="47" spans="1:7" x14ac:dyDescent="0.35">
      <c r="A47" s="94" t="s">
        <v>190</v>
      </c>
      <c r="B47" s="12">
        <f t="shared" ref="B47:G47" si="6">B18/(B10+B9)</f>
        <v>3.4294734777138096E-3</v>
      </c>
      <c r="C47" s="12">
        <f t="shared" si="6"/>
        <v>1.1343563037066613E-2</v>
      </c>
      <c r="D47" s="12">
        <f t="shared" si="6"/>
        <v>2.0082762854306518E-2</v>
      </c>
      <c r="E47" s="12">
        <f t="shared" si="6"/>
        <v>2.1526837922253038E-2</v>
      </c>
      <c r="F47" s="12">
        <f t="shared" si="6"/>
        <v>1.8813117793748394E-2</v>
      </c>
      <c r="G47" s="12">
        <f t="shared" si="6"/>
        <v>1.5729320404945922E-2</v>
      </c>
    </row>
    <row r="48" spans="1:7" x14ac:dyDescent="0.35">
      <c r="A48" s="9"/>
      <c r="B48" s="12"/>
      <c r="C48" s="12"/>
      <c r="D48" s="12"/>
      <c r="E48" s="12"/>
      <c r="F48" s="12"/>
      <c r="G48" s="12"/>
    </row>
    <row r="49" spans="1:7" ht="13.15" x14ac:dyDescent="0.4">
      <c r="A49" s="30" t="s">
        <v>52</v>
      </c>
      <c r="B49" s="74" t="s">
        <v>103</v>
      </c>
      <c r="C49" s="74" t="s">
        <v>98</v>
      </c>
      <c r="D49" s="74" t="s">
        <v>99</v>
      </c>
      <c r="E49" s="74" t="s">
        <v>100</v>
      </c>
      <c r="F49" s="74" t="s">
        <v>101</v>
      </c>
      <c r="G49" s="74" t="s">
        <v>102</v>
      </c>
    </row>
    <row r="50" spans="1:7" x14ac:dyDescent="0.35">
      <c r="A50" s="46" t="s">
        <v>68</v>
      </c>
      <c r="B50" s="12">
        <f t="shared" ref="B50:G50" si="7">B30/B13</f>
        <v>6.7502815639104794E-3</v>
      </c>
      <c r="C50" s="12">
        <f t="shared" si="7"/>
        <v>2.1493909175196164E-3</v>
      </c>
      <c r="D50" s="12">
        <f t="shared" si="7"/>
        <v>-2.1224728316171422E-3</v>
      </c>
      <c r="E50" s="12">
        <f t="shared" si="7"/>
        <v>-2.788326307812334E-3</v>
      </c>
      <c r="F50" s="12">
        <f t="shared" si="7"/>
        <v>-1.428697403736502E-3</v>
      </c>
      <c r="G50" s="12">
        <f t="shared" si="7"/>
        <v>1.0939519485689418E-4</v>
      </c>
    </row>
    <row r="51" spans="1:7" x14ac:dyDescent="0.35">
      <c r="A51" s="46" t="s">
        <v>69</v>
      </c>
      <c r="B51" s="12">
        <f t="shared" ref="B51:G51" si="8">B30/B15</f>
        <v>6.4666321170420094E-2</v>
      </c>
      <c r="C51" s="12">
        <f t="shared" si="8"/>
        <v>2.0857435370170655E-2</v>
      </c>
      <c r="D51" s="12">
        <f t="shared" si="8"/>
        <v>-2.1324427967741783E-2</v>
      </c>
      <c r="E51" s="12">
        <f t="shared" si="8"/>
        <v>-2.9197282772078254E-2</v>
      </c>
      <c r="F51" s="12">
        <f t="shared" si="8"/>
        <v>-1.5416844005496337E-2</v>
      </c>
      <c r="G51" s="12">
        <f t="shared" si="8"/>
        <v>1.2004373176426146E-3</v>
      </c>
    </row>
    <row r="52" spans="1:7" x14ac:dyDescent="0.35">
      <c r="A52" s="23" t="s">
        <v>38</v>
      </c>
      <c r="B52" s="12">
        <f t="shared" ref="B52:G52" si="9">B15/B13</f>
        <v>0.10438635508769621</v>
      </c>
      <c r="C52" s="12">
        <f t="shared" si="9"/>
        <v>0.10305154393974901</v>
      </c>
      <c r="D52" s="12">
        <f t="shared" si="9"/>
        <v>9.9532462714961564E-2</v>
      </c>
      <c r="E52" s="12">
        <f t="shared" si="9"/>
        <v>9.5499513758823026E-2</v>
      </c>
      <c r="F52" s="12">
        <f t="shared" si="9"/>
        <v>9.2671198023872442E-2</v>
      </c>
      <c r="G52" s="12">
        <f t="shared" si="9"/>
        <v>9.1129451949828924E-2</v>
      </c>
    </row>
    <row r="53" spans="1:7" ht="13.15" x14ac:dyDescent="0.4">
      <c r="A53" s="2"/>
    </row>
    <row r="54" spans="1:7" ht="13.15" x14ac:dyDescent="0.4">
      <c r="A54" s="30" t="s">
        <v>55</v>
      </c>
      <c r="B54" s="74" t="s">
        <v>103</v>
      </c>
      <c r="C54" s="74" t="s">
        <v>98</v>
      </c>
      <c r="D54" s="74" t="s">
        <v>99</v>
      </c>
      <c r="E54" s="74" t="s">
        <v>100</v>
      </c>
      <c r="F54" s="74" t="s">
        <v>101</v>
      </c>
      <c r="G54" s="74" t="s">
        <v>102</v>
      </c>
    </row>
    <row r="55" spans="1:7" x14ac:dyDescent="0.35">
      <c r="A55" s="94" t="s">
        <v>71</v>
      </c>
      <c r="B55" s="20">
        <f>SUM(B56:B61)</f>
        <v>424039.01</v>
      </c>
      <c r="C55" s="20">
        <f t="shared" ref="C55:G55" si="10">SUM(C56:C61)</f>
        <v>433608.04215852398</v>
      </c>
      <c r="D55" s="20">
        <f t="shared" si="10"/>
        <v>439837.51574391918</v>
      </c>
      <c r="E55" s="20">
        <f t="shared" si="10"/>
        <v>445046.23044147209</v>
      </c>
      <c r="F55" s="20">
        <f t="shared" si="10"/>
        <v>448687.17908548965</v>
      </c>
      <c r="G55" s="20">
        <f t="shared" si="10"/>
        <v>456858.96689596708</v>
      </c>
    </row>
    <row r="56" spans="1:7" x14ac:dyDescent="0.35">
      <c r="A56" s="116" t="s">
        <v>199</v>
      </c>
      <c r="B56" s="20">
        <f>MULTIFAM!B8</f>
        <v>57296</v>
      </c>
      <c r="C56" s="20">
        <f>MULTIFAM!C8</f>
        <v>58561.703004439187</v>
      </c>
      <c r="D56" s="20">
        <f>MULTIFAM!D8</f>
        <v>59965.553201988565</v>
      </c>
      <c r="E56" s="20">
        <f>MULTIFAM!E8</f>
        <v>61245.565206315943</v>
      </c>
      <c r="F56" s="20">
        <f>MULTIFAM!F8</f>
        <v>60998.957859750553</v>
      </c>
      <c r="G56" s="20">
        <f>MULTIFAM!G8</f>
        <v>62402.888975238566</v>
      </c>
    </row>
    <row r="57" spans="1:7" x14ac:dyDescent="0.35">
      <c r="A57" s="116" t="s">
        <v>200</v>
      </c>
      <c r="B57" s="20">
        <f>NFR_OTHER!B8</f>
        <v>143979</v>
      </c>
      <c r="C57" s="20">
        <f>NFR_OTHER!C8</f>
        <v>147929.74885764334</v>
      </c>
      <c r="D57" s="20">
        <f>NFR_OTHER!D8</f>
        <v>148320.51234716771</v>
      </c>
      <c r="E57" s="20">
        <f>NFR_OTHER!E8</f>
        <v>149938.07536888108</v>
      </c>
      <c r="F57" s="20">
        <f>NFR_OTHER!F8</f>
        <v>152021.74370037531</v>
      </c>
      <c r="G57" s="20">
        <f>NFR_OTHER!G8</f>
        <v>154677.10623654924</v>
      </c>
    </row>
    <row r="58" spans="1:7" x14ac:dyDescent="0.35">
      <c r="A58" s="116" t="s">
        <v>201</v>
      </c>
      <c r="B58" s="20">
        <f>NFR_OWN!B8</f>
        <v>178590</v>
      </c>
      <c r="C58" s="20">
        <f>NFR_OWN!C8</f>
        <v>181645.28388394346</v>
      </c>
      <c r="D58" s="20">
        <f>NFR_OWN!D8</f>
        <v>185246.46342143317</v>
      </c>
      <c r="E58" s="20">
        <f>NFR_OWN!E8</f>
        <v>188402.05661765902</v>
      </c>
      <c r="F58" s="20">
        <f>NFR_OWN!F8</f>
        <v>192164.41380935404</v>
      </c>
      <c r="G58" s="20">
        <f>NFR_OWN!G8</f>
        <v>196130.80908625407</v>
      </c>
    </row>
    <row r="59" spans="1:7" x14ac:dyDescent="0.35">
      <c r="A59" s="116" t="s">
        <v>202</v>
      </c>
      <c r="B59" s="20">
        <f>FARM!B8</f>
        <v>0.01</v>
      </c>
      <c r="C59" s="20">
        <f>FARM!C8</f>
        <v>1.03E-2</v>
      </c>
      <c r="D59" s="20">
        <f>FARM!D8</f>
        <v>1.0609E-2</v>
      </c>
      <c r="E59" s="20">
        <f>FARM!E8</f>
        <v>1.0927270000000001E-2</v>
      </c>
      <c r="F59" s="20">
        <f>FARM!F8</f>
        <v>1.1252981925010577E-2</v>
      </c>
      <c r="G59" s="20">
        <f>FARM!G8</f>
        <v>1.1590571382760895E-2</v>
      </c>
    </row>
    <row r="60" spans="1:7" x14ac:dyDescent="0.35">
      <c r="A60" s="116" t="s">
        <v>203</v>
      </c>
      <c r="B60" s="20">
        <f>CLD_OTHER!B8</f>
        <v>36299</v>
      </c>
      <c r="C60" s="20">
        <f>CLD_OTHER!C8</f>
        <v>37387.97</v>
      </c>
      <c r="D60" s="20">
        <f>CLD_OTHER!D8</f>
        <v>38029.268686981697</v>
      </c>
      <c r="E60" s="20">
        <f>CLD_OTHER!E8</f>
        <v>36936.543619677563</v>
      </c>
      <c r="F60" s="20">
        <f>CLD_OTHER!F8</f>
        <v>35000.764904458629</v>
      </c>
      <c r="G60" s="20">
        <f>CLD_OTHER!G8</f>
        <v>34919.505580089884</v>
      </c>
    </row>
    <row r="61" spans="1:7" x14ac:dyDescent="0.35">
      <c r="A61" s="116" t="s">
        <v>204</v>
      </c>
      <c r="B61" s="20">
        <f>CLD_RES!B8</f>
        <v>7875</v>
      </c>
      <c r="C61" s="20">
        <f>CLD_RES!C8</f>
        <v>8083.3261124979945</v>
      </c>
      <c r="D61" s="20">
        <f>CLD_RES!D8</f>
        <v>8275.7074773480454</v>
      </c>
      <c r="E61" s="20">
        <f>CLD_RES!E8</f>
        <v>8523.9787016684877</v>
      </c>
      <c r="F61" s="20">
        <f>CLD_RES!F8</f>
        <v>8501.2875585692873</v>
      </c>
      <c r="G61" s="20">
        <f>CLD_RES!G8</f>
        <v>8728.6454272640094</v>
      </c>
    </row>
    <row r="62" spans="1:7" x14ac:dyDescent="0.35">
      <c r="A62" s="94" t="s">
        <v>141</v>
      </c>
      <c r="B62" s="20">
        <f>Mortgage!B8</f>
        <v>198888</v>
      </c>
      <c r="C62" s="20">
        <f>Mortgage!C8</f>
        <v>203570.45076609915</v>
      </c>
      <c r="D62" s="20">
        <f>Mortgage!D8</f>
        <v>208033.29892740614</v>
      </c>
      <c r="E62" s="20">
        <f>Mortgage!E8</f>
        <v>211306.10252312821</v>
      </c>
      <c r="F62" s="20">
        <f>Mortgage!F8</f>
        <v>214904.58599313072</v>
      </c>
      <c r="G62" s="20">
        <f>Mortgage!G8</f>
        <v>219190.19650886671</v>
      </c>
    </row>
    <row r="63" spans="1:7" x14ac:dyDescent="0.35">
      <c r="A63" s="94" t="s">
        <v>40</v>
      </c>
      <c r="B63" s="20">
        <f>Consumer!B8</f>
        <v>233220</v>
      </c>
      <c r="C63" s="20">
        <f>Consumer!C8</f>
        <v>235543.54835859608</v>
      </c>
      <c r="D63" s="20">
        <f>Consumer!D8</f>
        <v>234402.39415831192</v>
      </c>
      <c r="E63" s="20">
        <f>Consumer!E8</f>
        <v>234196.33862747104</v>
      </c>
      <c r="F63" s="20">
        <f>Consumer!F8</f>
        <v>236728.57223439176</v>
      </c>
      <c r="G63" s="20">
        <f>Consumer!G8</f>
        <v>237381.17247768203</v>
      </c>
    </row>
    <row r="64" spans="1:7" x14ac:dyDescent="0.35">
      <c r="A64" s="94" t="s">
        <v>41</v>
      </c>
      <c r="B64" s="20">
        <f>CI!B8</f>
        <v>70071</v>
      </c>
      <c r="C64" s="20">
        <f>CI!C8</f>
        <v>70763.846526686262</v>
      </c>
      <c r="D64" s="20">
        <f>CI!D8</f>
        <v>70378.210421862925</v>
      </c>
      <c r="E64" s="20">
        <f>CI!E8</f>
        <v>69937.494433281478</v>
      </c>
      <c r="F64" s="20">
        <f>CI!F8</f>
        <v>70697.337324740452</v>
      </c>
      <c r="G64" s="20">
        <f>CI!G8</f>
        <v>71370.93332592948</v>
      </c>
    </row>
    <row r="65" spans="1:7" x14ac:dyDescent="0.35">
      <c r="A65" s="94" t="s">
        <v>205</v>
      </c>
      <c r="B65" s="20">
        <f>AG!B8</f>
        <v>0.01</v>
      </c>
      <c r="C65" s="20">
        <f>AG!C8</f>
        <v>1.0231603956785251E-2</v>
      </c>
      <c r="D65" s="20">
        <f>AG!D8</f>
        <v>1.0500882443354018E-2</v>
      </c>
      <c r="E65" s="20">
        <f>AG!E8</f>
        <v>1.0806273104894433E-2</v>
      </c>
      <c r="F65" s="20">
        <f>AG!F8</f>
        <v>1.1127806918246587E-2</v>
      </c>
      <c r="G65" s="20">
        <f>AG!G8</f>
        <v>1.1455822825581819E-2</v>
      </c>
    </row>
    <row r="66" spans="1:7" x14ac:dyDescent="0.35">
      <c r="A66" s="94" t="s">
        <v>95</v>
      </c>
      <c r="B66" s="20">
        <f>OTHERLOANS!B8</f>
        <v>7453</v>
      </c>
      <c r="C66" s="20">
        <f>OTHERLOANS!C8</f>
        <v>7408.7195225454061</v>
      </c>
      <c r="D66" s="20">
        <f>OTHERLOANS!D8</f>
        <v>7487.7783158381244</v>
      </c>
      <c r="E66" s="20">
        <f>OTHERLOANS!E8</f>
        <v>7617.0071451561753</v>
      </c>
      <c r="F66" s="20">
        <f>OTHERLOANS!F8</f>
        <v>7715.569706668105</v>
      </c>
      <c r="G66" s="20">
        <f>OTHERLOANS!G8</f>
        <v>7682.8712498383638</v>
      </c>
    </row>
    <row r="67" spans="1:7" x14ac:dyDescent="0.35">
      <c r="A67" s="51" t="s">
        <v>76</v>
      </c>
      <c r="C67" s="50">
        <f>C8/B8-1</f>
        <v>1.8447180211349945E-2</v>
      </c>
      <c r="D67" s="50">
        <f>SUM(D8:D8)/SUM(C8:C8)-1</f>
        <v>9.7219926723823846E-3</v>
      </c>
      <c r="E67" s="50">
        <f>SUM(E8:E8)/SUM(D8:D8)-1</f>
        <v>8.2946054505834699E-3</v>
      </c>
      <c r="F67" s="50">
        <f>SUM(F8:F8)/SUM(E8:E8)-1</f>
        <v>1.0980308371448144E-2</v>
      </c>
      <c r="G67" s="50">
        <f>SUM(G8:G8)/SUM(F8:F8)-1</f>
        <v>1.4049687557866841E-2</v>
      </c>
    </row>
    <row r="68" spans="1:7" ht="13.15" x14ac:dyDescent="0.4">
      <c r="A68" s="30" t="s">
        <v>70</v>
      </c>
      <c r="B68" s="74" t="s">
        <v>103</v>
      </c>
      <c r="C68" s="74" t="s">
        <v>98</v>
      </c>
      <c r="D68" s="74" t="s">
        <v>99</v>
      </c>
      <c r="E68" s="74" t="s">
        <v>100</v>
      </c>
      <c r="F68" s="74" t="s">
        <v>101</v>
      </c>
      <c r="G68" s="74" t="s">
        <v>102</v>
      </c>
    </row>
    <row r="69" spans="1:7" x14ac:dyDescent="0.35">
      <c r="A69" t="s">
        <v>53</v>
      </c>
      <c r="B69" s="19">
        <f t="shared" ref="B69:G80" si="11">B21*qtr/4</f>
        <v>41718.181375119784</v>
      </c>
      <c r="C69" s="19">
        <f t="shared" si="11"/>
        <v>42590.859273445392</v>
      </c>
      <c r="D69" s="19">
        <f t="shared" si="11"/>
        <v>43218.002285156384</v>
      </c>
      <c r="E69" s="19">
        <f t="shared" si="11"/>
        <v>43766.200572840069</v>
      </c>
      <c r="F69" s="19">
        <f t="shared" si="11"/>
        <v>44394.147071592182</v>
      </c>
      <c r="G69" s="19">
        <f t="shared" si="11"/>
        <v>45167.118182533835</v>
      </c>
    </row>
    <row r="70" spans="1:7" x14ac:dyDescent="0.35">
      <c r="A70" t="s">
        <v>44</v>
      </c>
      <c r="B70" s="19">
        <f t="shared" si="11"/>
        <v>4789</v>
      </c>
      <c r="C70" s="19">
        <f t="shared" si="11"/>
        <v>4888.2039716845029</v>
      </c>
      <c r="D70" s="19">
        <f t="shared" si="11"/>
        <v>4955.3616227879738</v>
      </c>
      <c r="E70" s="19">
        <f t="shared" si="11"/>
        <v>5018.1115550500626</v>
      </c>
      <c r="F70" s="19">
        <f t="shared" si="11"/>
        <v>5092.7496924104635</v>
      </c>
      <c r="G70" s="19">
        <f t="shared" si="11"/>
        <v>5181.1775229158375</v>
      </c>
    </row>
    <row r="71" spans="1:7" x14ac:dyDescent="0.35">
      <c r="A71" t="s">
        <v>54</v>
      </c>
      <c r="B71" s="19">
        <f t="shared" si="11"/>
        <v>36929.181375119784</v>
      </c>
      <c r="C71" s="19">
        <f t="shared" si="11"/>
        <v>37702.655301760889</v>
      </c>
      <c r="D71" s="19">
        <f t="shared" si="11"/>
        <v>38262.640662368409</v>
      </c>
      <c r="E71" s="19">
        <f t="shared" si="11"/>
        <v>38748.089017790007</v>
      </c>
      <c r="F71" s="19">
        <f t="shared" si="11"/>
        <v>39301.397379181719</v>
      </c>
      <c r="G71" s="19">
        <f t="shared" si="11"/>
        <v>39985.940659617998</v>
      </c>
    </row>
    <row r="72" spans="1:7" x14ac:dyDescent="0.35">
      <c r="A72" t="s">
        <v>22</v>
      </c>
      <c r="B72" s="19">
        <f t="shared" si="11"/>
        <v>35090</v>
      </c>
      <c r="C72" s="19">
        <f t="shared" si="11"/>
        <v>35816.888153353349</v>
      </c>
      <c r="D72" s="19">
        <f t="shared" si="11"/>
        <v>36308.966244232623</v>
      </c>
      <c r="E72" s="19">
        <f t="shared" si="11"/>
        <v>36768.748061538252</v>
      </c>
      <c r="F72" s="19">
        <f t="shared" si="11"/>
        <v>37315.637232550253</v>
      </c>
      <c r="G72" s="19">
        <f t="shared" si="11"/>
        <v>37963.566356048599</v>
      </c>
    </row>
    <row r="73" spans="1:7" x14ac:dyDescent="0.35">
      <c r="A73" t="s">
        <v>21</v>
      </c>
      <c r="B73" s="19">
        <f t="shared" si="11"/>
        <v>12999</v>
      </c>
      <c r="C73" s="19">
        <f t="shared" si="11"/>
        <v>13268.273841705333</v>
      </c>
      <c r="D73" s="19">
        <f t="shared" si="11"/>
        <v>13450.562901361634</v>
      </c>
      <c r="E73" s="19">
        <f t="shared" si="11"/>
        <v>13620.887889767333</v>
      </c>
      <c r="F73" s="19">
        <f t="shared" si="11"/>
        <v>13823.481572696513</v>
      </c>
      <c r="G73" s="19">
        <f t="shared" si="11"/>
        <v>14063.505245433904</v>
      </c>
    </row>
    <row r="74" spans="1:7" x14ac:dyDescent="0.35">
      <c r="A74" t="s">
        <v>2</v>
      </c>
      <c r="B74" s="19">
        <f t="shared" si="11"/>
        <v>3113</v>
      </c>
      <c r="C74" s="19">
        <f t="shared" si="11"/>
        <v>11107.809126506076</v>
      </c>
      <c r="D74" s="19">
        <f t="shared" si="11"/>
        <v>19454.689690936193</v>
      </c>
      <c r="E74" s="19">
        <f t="shared" si="11"/>
        <v>20988.754376025368</v>
      </c>
      <c r="F74" s="19">
        <f t="shared" si="11"/>
        <v>18611.309416891359</v>
      </c>
      <c r="G74" s="19">
        <f t="shared" si="11"/>
        <v>15867.600146750452</v>
      </c>
    </row>
    <row r="75" spans="1:7" x14ac:dyDescent="0.35">
      <c r="A75" t="s">
        <v>36</v>
      </c>
      <c r="B75" s="19">
        <f t="shared" si="11"/>
        <v>-5</v>
      </c>
      <c r="C75" s="19">
        <f t="shared" si="11"/>
        <v>0</v>
      </c>
      <c r="D75" s="19">
        <f t="shared" si="11"/>
        <v>0</v>
      </c>
      <c r="E75" s="19">
        <f t="shared" si="11"/>
        <v>0</v>
      </c>
      <c r="F75" s="19">
        <f t="shared" si="11"/>
        <v>0</v>
      </c>
      <c r="G75" s="19">
        <f t="shared" si="11"/>
        <v>0</v>
      </c>
    </row>
    <row r="76" spans="1:7" x14ac:dyDescent="0.35">
      <c r="A76" t="s">
        <v>9</v>
      </c>
      <c r="B76" s="19">
        <f t="shared" si="11"/>
        <v>11720.181375119784</v>
      </c>
      <c r="C76" s="19">
        <f t="shared" si="11"/>
        <v>4046.2318636067976</v>
      </c>
      <c r="D76" s="19">
        <f t="shared" si="11"/>
        <v>-4050.4523714387724</v>
      </c>
      <c r="E76" s="19">
        <f t="shared" si="11"/>
        <v>-5388.52553000628</v>
      </c>
      <c r="F76" s="19">
        <f t="shared" si="11"/>
        <v>-2802.0676975633796</v>
      </c>
      <c r="G76" s="19">
        <f t="shared" si="11"/>
        <v>218.27940225285056</v>
      </c>
    </row>
    <row r="77" spans="1:7" x14ac:dyDescent="0.35">
      <c r="A77" t="s">
        <v>8</v>
      </c>
      <c r="B77" s="19">
        <f t="shared" si="11"/>
        <v>3379</v>
      </c>
      <c r="C77" s="19">
        <f t="shared" si="11"/>
        <v>1335.2565149902432</v>
      </c>
      <c r="D77" s="19">
        <f t="shared" si="11"/>
        <v>-1336.6492825747951</v>
      </c>
      <c r="E77" s="19">
        <f t="shared" si="11"/>
        <v>-1778.2134249020726</v>
      </c>
      <c r="F77" s="19">
        <f t="shared" si="11"/>
        <v>-924.68234019591534</v>
      </c>
      <c r="G77" s="19">
        <f t="shared" si="11"/>
        <v>72.032202743440692</v>
      </c>
    </row>
    <row r="78" spans="1:7" x14ac:dyDescent="0.35">
      <c r="A78" t="s">
        <v>3</v>
      </c>
      <c r="B78" s="19">
        <f t="shared" si="11"/>
        <v>8341.1813751197842</v>
      </c>
      <c r="C78" s="19">
        <f t="shared" si="11"/>
        <v>2710.9753486165546</v>
      </c>
      <c r="D78" s="19">
        <f t="shared" si="11"/>
        <v>-2713.8030888639773</v>
      </c>
      <c r="E78" s="19">
        <f t="shared" si="11"/>
        <v>-3610.3121051042071</v>
      </c>
      <c r="F78" s="19">
        <f t="shared" si="11"/>
        <v>-1877.3853573674642</v>
      </c>
      <c r="G78" s="19">
        <f t="shared" si="11"/>
        <v>146.24719950940988</v>
      </c>
    </row>
    <row r="79" spans="1:7" x14ac:dyDescent="0.35">
      <c r="A79" t="s">
        <v>4</v>
      </c>
      <c r="B79" s="19">
        <f t="shared" si="11"/>
        <v>5300</v>
      </c>
      <c r="C79" s="19">
        <f t="shared" si="11"/>
        <v>1722.5580767881822</v>
      </c>
      <c r="D79" s="19">
        <f t="shared" si="11"/>
        <v>0</v>
      </c>
      <c r="E79" s="19">
        <f t="shared" si="11"/>
        <v>0</v>
      </c>
      <c r="F79" s="19">
        <f t="shared" si="11"/>
        <v>0</v>
      </c>
      <c r="G79" s="19">
        <f t="shared" si="11"/>
        <v>92.92570471035242</v>
      </c>
    </row>
    <row r="80" spans="1:7" x14ac:dyDescent="0.35">
      <c r="A80" t="s">
        <v>5</v>
      </c>
      <c r="B80" s="19">
        <f t="shared" si="11"/>
        <v>3041.1813751197842</v>
      </c>
      <c r="C80" s="19">
        <f t="shared" si="11"/>
        <v>988.41727182837235</v>
      </c>
      <c r="D80" s="19">
        <f t="shared" si="11"/>
        <v>-2713.8030888639773</v>
      </c>
      <c r="E80" s="19">
        <f t="shared" si="11"/>
        <v>-3610.3121051042071</v>
      </c>
      <c r="F80" s="19">
        <f t="shared" si="11"/>
        <v>-1877.3853573674642</v>
      </c>
      <c r="G80" s="19">
        <f t="shared" si="11"/>
        <v>53.321494799057461</v>
      </c>
    </row>
    <row r="81" spans="1:7" x14ac:dyDescent="0.35">
      <c r="C81" s="1"/>
      <c r="D81" s="1"/>
      <c r="E81" s="1"/>
      <c r="F81" s="1"/>
      <c r="G81" s="1"/>
    </row>
    <row r="82" spans="1:7" x14ac:dyDescent="0.35">
      <c r="A82" s="97" t="s">
        <v>170</v>
      </c>
      <c r="C82" s="50"/>
      <c r="D82" s="1"/>
      <c r="E82" s="1"/>
      <c r="F82" s="1"/>
      <c r="G82" s="1"/>
    </row>
    <row r="83" spans="1:7" x14ac:dyDescent="0.35">
      <c r="C83" s="1"/>
      <c r="D83" s="1"/>
      <c r="E83" s="1"/>
      <c r="F83" s="1"/>
      <c r="G83" s="1"/>
    </row>
    <row r="84" spans="1:7" x14ac:dyDescent="0.35">
      <c r="C84" s="1"/>
      <c r="D84" s="1"/>
      <c r="E84" s="1"/>
      <c r="F84" s="1"/>
      <c r="G84" s="1"/>
    </row>
  </sheetData>
  <mergeCells count="3">
    <mergeCell ref="A1:G1"/>
    <mergeCell ref="B2:D2"/>
    <mergeCell ref="E2:G2"/>
  </mergeCells>
  <phoneticPr fontId="2" type="noConversion"/>
  <pageMargins left="0.75" right="0.75" top="1" bottom="1" header="0.5" footer="0.5"/>
  <pageSetup scale="80" orientation="portrait" r:id="rId1"/>
  <headerFooter alignWithMargins="0"/>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P25"/>
  <sheetViews>
    <sheetView workbookViewId="0">
      <selection activeCell="D12" sqref="D12"/>
    </sheetView>
  </sheetViews>
  <sheetFormatPr defaultColWidth="8.86328125" defaultRowHeight="12.75" x14ac:dyDescent="0.35"/>
  <cols>
    <col min="1" max="1" width="35.1328125" customWidth="1"/>
    <col min="2" max="2" width="10.86328125" customWidth="1"/>
    <col min="3" max="4" width="9.265625" customWidth="1"/>
    <col min="5" max="5" width="9.86328125" customWidth="1"/>
    <col min="6" max="6" width="9.3984375" customWidth="1"/>
    <col min="8" max="8" width="5.3984375" customWidth="1"/>
    <col min="9" max="9" width="20.3984375" bestFit="1" customWidth="1"/>
    <col min="10" max="10" width="8.3984375" customWidth="1"/>
    <col min="11" max="15" width="8.3984375" bestFit="1" customWidth="1"/>
  </cols>
  <sheetData>
    <row r="1" spans="1:16" ht="13.15" x14ac:dyDescent="0.4">
      <c r="A1" s="53" t="s">
        <v>81</v>
      </c>
      <c r="C1" s="44"/>
      <c r="J1" s="137" t="s">
        <v>7</v>
      </c>
      <c r="K1" s="137"/>
      <c r="L1" s="137"/>
      <c r="M1" s="137"/>
      <c r="N1" s="137"/>
      <c r="O1" s="137"/>
    </row>
    <row r="2" spans="1:16" x14ac:dyDescent="0.35">
      <c r="A2" s="57" t="s">
        <v>109</v>
      </c>
      <c r="B2" s="18">
        <f>MAX(0.01,Inputs!B10)</f>
        <v>57296</v>
      </c>
      <c r="C2" s="14"/>
      <c r="D2" s="14"/>
      <c r="E2" s="14"/>
      <c r="F2" s="14"/>
      <c r="G2" s="14"/>
      <c r="J2" s="75" t="s">
        <v>103</v>
      </c>
      <c r="K2" s="75" t="s">
        <v>98</v>
      </c>
      <c r="L2" s="75" t="s">
        <v>99</v>
      </c>
      <c r="M2" s="75" t="s">
        <v>100</v>
      </c>
      <c r="N2" s="75" t="s">
        <v>101</v>
      </c>
      <c r="O2" s="75" t="s">
        <v>102</v>
      </c>
    </row>
    <row r="3" spans="1:16" x14ac:dyDescent="0.35">
      <c r="A3" s="14" t="s">
        <v>61</v>
      </c>
      <c r="B3" s="15">
        <f>Inputs!C10</f>
        <v>3.5038705936050504E-2</v>
      </c>
      <c r="C3" s="15"/>
      <c r="D3" s="14"/>
      <c r="E3" s="14"/>
      <c r="F3" s="14"/>
      <c r="G3" s="14"/>
      <c r="I3" s="57" t="s">
        <v>105</v>
      </c>
      <c r="J3" s="1">
        <f t="shared" ref="J3:O3" si="0">B8</f>
        <v>57296</v>
      </c>
      <c r="K3" s="1">
        <f t="shared" si="0"/>
        <v>58561.703004439187</v>
      </c>
      <c r="L3" s="1">
        <f t="shared" si="0"/>
        <v>59965.553201988565</v>
      </c>
      <c r="M3" s="1">
        <f t="shared" si="0"/>
        <v>61245.565206315943</v>
      </c>
      <c r="N3" s="1">
        <f t="shared" si="0"/>
        <v>60998.957859750553</v>
      </c>
      <c r="O3" s="1">
        <f t="shared" si="0"/>
        <v>62402.888975238566</v>
      </c>
    </row>
    <row r="4" spans="1:16" x14ac:dyDescent="0.35">
      <c r="A4" s="14" t="s">
        <v>62</v>
      </c>
      <c r="B4" s="25">
        <f>Inputs!D10</f>
        <v>69</v>
      </c>
      <c r="C4" s="25"/>
      <c r="D4" s="14"/>
      <c r="E4" s="14"/>
      <c r="F4" s="14"/>
      <c r="G4" s="14"/>
    </row>
    <row r="5" spans="1:16" x14ac:dyDescent="0.35">
      <c r="B5" s="14"/>
      <c r="C5" s="14"/>
      <c r="D5" s="14"/>
      <c r="E5" s="14"/>
      <c r="F5" s="14"/>
      <c r="G5" s="14"/>
      <c r="J5" s="8"/>
      <c r="K5" s="1"/>
      <c r="L5" s="1"/>
      <c r="M5" s="1"/>
      <c r="N5" s="1"/>
      <c r="O5" s="1"/>
    </row>
    <row r="6" spans="1:16" x14ac:dyDescent="0.35">
      <c r="A6" s="41" t="s">
        <v>0</v>
      </c>
      <c r="B6" s="75" t="s">
        <v>103</v>
      </c>
      <c r="C6" s="75" t="s">
        <v>98</v>
      </c>
      <c r="D6" s="75" t="s">
        <v>99</v>
      </c>
      <c r="E6" s="75" t="s">
        <v>100</v>
      </c>
      <c r="F6" s="75" t="s">
        <v>101</v>
      </c>
      <c r="G6" s="75" t="s">
        <v>102</v>
      </c>
      <c r="P6" s="1"/>
    </row>
    <row r="7" spans="1:16" x14ac:dyDescent="0.35">
      <c r="A7" s="57" t="s">
        <v>107</v>
      </c>
      <c r="B7" s="15">
        <f>(B4*4/qtr)/B2</f>
        <v>1.2042725495671599E-3</v>
      </c>
      <c r="C7" s="15">
        <f>ProjectedLossRates!B3</f>
        <v>7.6790293492220354E-3</v>
      </c>
      <c r="D7" s="15">
        <f>ProjectedLossRates!C3</f>
        <v>5.852277095872379E-3</v>
      </c>
      <c r="E7" s="15">
        <f>ProjectedLossRates!D3</f>
        <v>8.4021472753145685E-3</v>
      </c>
      <c r="F7" s="15">
        <f>ProjectedLossRates!E3</f>
        <v>3.3035469838124012E-2</v>
      </c>
      <c r="G7" s="15">
        <f>ProjectedLossRates!F3</f>
        <v>6.7809151515049607E-3</v>
      </c>
    </row>
    <row r="8" spans="1:16" ht="13.15" x14ac:dyDescent="0.4">
      <c r="A8" s="57" t="s">
        <v>110</v>
      </c>
      <c r="B8">
        <f>B2</f>
        <v>57296</v>
      </c>
      <c r="C8" s="1">
        <f>B8*(1-MAX(0,C7))*(1+rt)</f>
        <v>58561.703004439187</v>
      </c>
      <c r="D8" s="1">
        <f>C8*(1-MAX(0,D7))*(1+rt)</f>
        <v>59965.553201988565</v>
      </c>
      <c r="E8" s="1">
        <f>D8*(1-MAX(0,E7))*(1+rt)</f>
        <v>61245.565206315943</v>
      </c>
      <c r="F8" s="1">
        <f>E8*(1-MAX(0,F7))*(1+rt)</f>
        <v>60998.957859750553</v>
      </c>
      <c r="G8" s="1">
        <f>F8*(1-MAX(0,G7))*(1+rt)</f>
        <v>62402.888975238566</v>
      </c>
      <c r="J8" s="137" t="s">
        <v>1</v>
      </c>
      <c r="K8" s="137"/>
      <c r="L8" s="137"/>
      <c r="M8" s="137"/>
      <c r="N8" s="137"/>
      <c r="O8" s="137"/>
    </row>
    <row r="9" spans="1:16" ht="13.15" x14ac:dyDescent="0.4">
      <c r="A9" s="14" t="s">
        <v>63</v>
      </c>
      <c r="B9" s="1">
        <f t="shared" ref="B9:G9" si="1">B8*$B$3</f>
        <v>2007.5776953119496</v>
      </c>
      <c r="C9" s="1">
        <f t="shared" si="1"/>
        <v>2051.9262906868698</v>
      </c>
      <c r="D9" s="1">
        <f t="shared" si="1"/>
        <v>2101.1153849370689</v>
      </c>
      <c r="E9" s="1">
        <f t="shared" si="1"/>
        <v>2145.9653491513109</v>
      </c>
      <c r="F9" s="1">
        <f t="shared" si="1"/>
        <v>2137.3245468533364</v>
      </c>
      <c r="G9" s="1">
        <f t="shared" si="1"/>
        <v>2186.516476363392</v>
      </c>
      <c r="H9" s="4"/>
      <c r="J9" s="75" t="s">
        <v>103</v>
      </c>
      <c r="K9" s="75" t="s">
        <v>98</v>
      </c>
      <c r="L9" s="75" t="s">
        <v>99</v>
      </c>
      <c r="M9" s="75" t="s">
        <v>100</v>
      </c>
      <c r="N9" s="75" t="s">
        <v>101</v>
      </c>
      <c r="O9" s="75" t="s">
        <v>102</v>
      </c>
    </row>
    <row r="10" spans="1:16" ht="13.15" x14ac:dyDescent="0.4">
      <c r="A10" s="57" t="s">
        <v>64</v>
      </c>
      <c r="B10" s="76">
        <f>B4</f>
        <v>69</v>
      </c>
      <c r="C10" s="76">
        <f>C7*B8*(1+rt)</f>
        <v>453.17699556081652</v>
      </c>
      <c r="D10" s="76">
        <f>D7*C8*(1+rt)</f>
        <v>353.00089258380495</v>
      </c>
      <c r="E10" s="76">
        <f>E7*D8*(1+rt)</f>
        <v>518.95459173228357</v>
      </c>
      <c r="F10" s="76">
        <f>F7*E8*(1+rt)</f>
        <v>2083.9743027548711</v>
      </c>
      <c r="G10" s="76">
        <f>G7*F8*(1+rt)</f>
        <v>426.03762030451099</v>
      </c>
      <c r="H10" s="3"/>
      <c r="I10" s="14" t="s">
        <v>65</v>
      </c>
      <c r="J10" s="1">
        <f t="shared" ref="J10:O10" si="2">B9</f>
        <v>2007.5776953119496</v>
      </c>
      <c r="K10" s="1">
        <f t="shared" si="2"/>
        <v>2051.9262906868698</v>
      </c>
      <c r="L10" s="1">
        <f t="shared" si="2"/>
        <v>2101.1153849370689</v>
      </c>
      <c r="M10" s="1">
        <f t="shared" si="2"/>
        <v>2145.9653491513109</v>
      </c>
      <c r="N10" s="1">
        <f t="shared" si="2"/>
        <v>2137.3245468533364</v>
      </c>
      <c r="O10" s="1">
        <f t="shared" si="2"/>
        <v>2186.516476363392</v>
      </c>
    </row>
    <row r="11" spans="1:16" x14ac:dyDescent="0.35">
      <c r="I11" s="57" t="s">
        <v>66</v>
      </c>
      <c r="K11" s="1">
        <f>MAX(0,C10)</f>
        <v>453.17699556081652</v>
      </c>
      <c r="L11" s="1">
        <f>MAX(0,D10)</f>
        <v>353.00089258380495</v>
      </c>
      <c r="M11" s="1">
        <f>MAX(0,E10)</f>
        <v>518.95459173228357</v>
      </c>
      <c r="N11" s="1">
        <f>MAX(0,F10)</f>
        <v>2083.9743027548711</v>
      </c>
      <c r="O11" s="1">
        <f>MAX(0,G10)</f>
        <v>426.03762030451099</v>
      </c>
    </row>
    <row r="12" spans="1:16" x14ac:dyDescent="0.35">
      <c r="K12" s="1"/>
      <c r="L12" s="1"/>
      <c r="M12" s="1"/>
      <c r="N12" s="1"/>
      <c r="O12" s="1"/>
    </row>
    <row r="14" spans="1:16" ht="13.15" x14ac:dyDescent="0.4">
      <c r="B14" s="6"/>
      <c r="C14" s="5"/>
      <c r="D14" s="1"/>
    </row>
    <row r="15" spans="1:16" x14ac:dyDescent="0.35">
      <c r="B15" s="7"/>
    </row>
    <row r="25" spans="1:7" ht="13.15" x14ac:dyDescent="0.4">
      <c r="A25" s="10"/>
      <c r="B25" s="11"/>
      <c r="C25" s="11"/>
      <c r="D25" s="11"/>
      <c r="E25" s="11"/>
      <c r="F25" s="11"/>
      <c r="G25" s="40"/>
    </row>
  </sheetData>
  <mergeCells count="2">
    <mergeCell ref="J1:O1"/>
    <mergeCell ref="J8:O8"/>
  </mergeCells>
  <phoneticPr fontId="2" type="noConversion"/>
  <pageMargins left="0.75" right="0.75" top="1" bottom="1" header="0.5" footer="0.5"/>
  <pageSetup orientation="portrait" horizontalDpi="300" verticalDpi="300"/>
  <headerFooter alignWithMargins="0"/>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P25"/>
  <sheetViews>
    <sheetView workbookViewId="0">
      <selection activeCell="D12" sqref="D12"/>
    </sheetView>
  </sheetViews>
  <sheetFormatPr defaultColWidth="8.86328125" defaultRowHeight="12.75" x14ac:dyDescent="0.35"/>
  <cols>
    <col min="1" max="1" width="34.265625" customWidth="1"/>
    <col min="2" max="2" width="13.73046875" customWidth="1"/>
    <col min="3" max="7" width="10.59765625" bestFit="1" customWidth="1"/>
    <col min="8" max="8" width="5.3984375" customWidth="1"/>
    <col min="9" max="9" width="20.3984375" bestFit="1" customWidth="1"/>
    <col min="10" max="15" width="10.73046875" customWidth="1"/>
  </cols>
  <sheetData>
    <row r="1" spans="1:16" ht="13.15" x14ac:dyDescent="0.4">
      <c r="A1" s="2" t="s">
        <v>82</v>
      </c>
      <c r="C1" s="44"/>
      <c r="J1" s="137" t="s">
        <v>7</v>
      </c>
      <c r="K1" s="137"/>
      <c r="L1" s="137"/>
      <c r="M1" s="137"/>
      <c r="N1" s="137"/>
      <c r="O1" s="137"/>
    </row>
    <row r="2" spans="1:16" x14ac:dyDescent="0.35">
      <c r="A2" s="57" t="s">
        <v>108</v>
      </c>
      <c r="B2" s="22">
        <f>MAX(0.01,Inputs!B11)</f>
        <v>143979</v>
      </c>
      <c r="C2" s="14"/>
      <c r="J2" s="75" t="s">
        <v>103</v>
      </c>
      <c r="K2" s="75" t="s">
        <v>98</v>
      </c>
      <c r="L2" s="75" t="s">
        <v>99</v>
      </c>
      <c r="M2" s="75" t="s">
        <v>100</v>
      </c>
      <c r="N2" s="75" t="s">
        <v>101</v>
      </c>
      <c r="O2" s="75" t="s">
        <v>102</v>
      </c>
    </row>
    <row r="3" spans="1:16" x14ac:dyDescent="0.35">
      <c r="A3" s="14" t="s">
        <v>61</v>
      </c>
      <c r="B3" s="16">
        <f>Inputs!C11</f>
        <v>3.5038705936050504E-2</v>
      </c>
      <c r="C3" s="15"/>
      <c r="I3" s="57" t="s">
        <v>105</v>
      </c>
      <c r="J3" s="1">
        <f t="shared" ref="J3:O3" si="0">B8</f>
        <v>143979</v>
      </c>
      <c r="K3" s="1">
        <f t="shared" si="0"/>
        <v>147929.74885764334</v>
      </c>
      <c r="L3" s="1">
        <f t="shared" si="0"/>
        <v>148320.51234716771</v>
      </c>
      <c r="M3" s="1">
        <f t="shared" si="0"/>
        <v>149938.07536888108</v>
      </c>
      <c r="N3" s="1">
        <f t="shared" si="0"/>
        <v>152021.74370037531</v>
      </c>
      <c r="O3" s="1">
        <f t="shared" si="0"/>
        <v>154677.10623654924</v>
      </c>
    </row>
    <row r="4" spans="1:16" x14ac:dyDescent="0.35">
      <c r="A4" s="14" t="s">
        <v>62</v>
      </c>
      <c r="B4" s="24">
        <f>Inputs!D11</f>
        <v>755</v>
      </c>
      <c r="C4" s="25"/>
    </row>
    <row r="5" spans="1:16" x14ac:dyDescent="0.35">
      <c r="J5" s="8"/>
      <c r="K5" s="1"/>
      <c r="L5" s="1"/>
      <c r="M5" s="1"/>
      <c r="N5" s="1"/>
      <c r="O5" s="1"/>
    </row>
    <row r="6" spans="1:16" x14ac:dyDescent="0.35">
      <c r="A6" s="41" t="s">
        <v>0</v>
      </c>
      <c r="B6" s="61" t="s">
        <v>103</v>
      </c>
      <c r="C6" s="61" t="s">
        <v>98</v>
      </c>
      <c r="D6" s="61" t="s">
        <v>99</v>
      </c>
      <c r="E6" s="61" t="s">
        <v>100</v>
      </c>
      <c r="F6" s="61" t="s">
        <v>101</v>
      </c>
      <c r="G6" s="61" t="s">
        <v>102</v>
      </c>
      <c r="P6" s="1"/>
    </row>
    <row r="7" spans="1:16" x14ac:dyDescent="0.35">
      <c r="A7" s="14" t="s">
        <v>107</v>
      </c>
      <c r="B7" s="15">
        <f>(B4*4/qtr)/B2</f>
        <v>5.2438202793462932E-3</v>
      </c>
      <c r="C7" s="15">
        <f>ProjectedLossRates!B4</f>
        <v>2.4856722454647383E-3</v>
      </c>
      <c r="D7" s="15">
        <f>ProjectedLossRates!C4</f>
        <v>2.6561604163810822E-2</v>
      </c>
      <c r="E7" s="15">
        <f>ProjectedLossRates!D4</f>
        <v>1.8537998174205154E-2</v>
      </c>
      <c r="F7" s="15">
        <f>ProjectedLossRates!E4</f>
        <v>1.5634117220855791E-2</v>
      </c>
      <c r="G7" s="15">
        <f>ProjectedLossRates!F4</f>
        <v>1.2167969218575403E-2</v>
      </c>
    </row>
    <row r="8" spans="1:16" ht="13.15" x14ac:dyDescent="0.4">
      <c r="A8" t="s">
        <v>10</v>
      </c>
      <c r="B8">
        <f>B2</f>
        <v>143979</v>
      </c>
      <c r="C8" s="1">
        <f>B8*(1-MAX(0,C7))*(1+rt)</f>
        <v>147929.74885764334</v>
      </c>
      <c r="D8" s="1">
        <f>C8*(1-MAX(0,D7))*(1+rt)</f>
        <v>148320.51234716771</v>
      </c>
      <c r="E8" s="1">
        <f>D8*(1-MAX(0,E7))*(1+rt)</f>
        <v>149938.07536888108</v>
      </c>
      <c r="F8" s="1">
        <f>E8*(1-MAX(0,F7))*(1+rt)</f>
        <v>152021.74370037531</v>
      </c>
      <c r="G8" s="1">
        <f>F8*(1-MAX(0,G7))*(1+rt)</f>
        <v>154677.10623654924</v>
      </c>
      <c r="J8" s="137" t="s">
        <v>1</v>
      </c>
      <c r="K8" s="137"/>
      <c r="L8" s="137"/>
      <c r="M8" s="137"/>
      <c r="N8" s="137"/>
      <c r="O8" s="137"/>
    </row>
    <row r="9" spans="1:16" ht="13.15" x14ac:dyDescent="0.4">
      <c r="A9" s="14" t="s">
        <v>63</v>
      </c>
      <c r="B9" s="1">
        <f t="shared" ref="B9:G9" si="1">B8*$B$3</f>
        <v>5044.837841966616</v>
      </c>
      <c r="C9" s="1">
        <f t="shared" si="1"/>
        <v>5183.266969416768</v>
      </c>
      <c r="D9" s="1">
        <f t="shared" si="1"/>
        <v>5196.9588164167571</v>
      </c>
      <c r="E9" s="1">
        <f t="shared" si="1"/>
        <v>5253.6361314676014</v>
      </c>
      <c r="F9" s="1">
        <f t="shared" si="1"/>
        <v>5326.6451734030888</v>
      </c>
      <c r="G9" s="1">
        <f t="shared" si="1"/>
        <v>5419.6856404616919</v>
      </c>
      <c r="H9" s="4"/>
      <c r="J9" s="75" t="s">
        <v>103</v>
      </c>
      <c r="K9" s="75" t="s">
        <v>98</v>
      </c>
      <c r="L9" s="75" t="s">
        <v>99</v>
      </c>
      <c r="M9" s="75" t="s">
        <v>100</v>
      </c>
      <c r="N9" s="75" t="s">
        <v>101</v>
      </c>
      <c r="O9" s="75" t="s">
        <v>102</v>
      </c>
    </row>
    <row r="10" spans="1:16" ht="13.15" x14ac:dyDescent="0.4">
      <c r="A10" s="14" t="s">
        <v>64</v>
      </c>
      <c r="B10" s="76">
        <f>B4</f>
        <v>755</v>
      </c>
      <c r="C10" s="76">
        <f>C7*B8*(1+rt)</f>
        <v>368.62114235666058</v>
      </c>
      <c r="D10" s="76">
        <f>D7*C8*(1+rt)</f>
        <v>4047.1289762049287</v>
      </c>
      <c r="E10" s="76">
        <f>E7*D8*(1+rt)</f>
        <v>2832.0523487016367</v>
      </c>
      <c r="F10" s="76">
        <f>F7*E8*(1+rt)</f>
        <v>2414.4739295721952</v>
      </c>
      <c r="G10" s="76">
        <f>G7*F8*(1+rt)</f>
        <v>1905.2897748373359</v>
      </c>
      <c r="H10" s="3"/>
      <c r="I10" s="14" t="s">
        <v>65</v>
      </c>
      <c r="J10" s="1">
        <f t="shared" ref="J10:O10" si="2">B9</f>
        <v>5044.837841966616</v>
      </c>
      <c r="K10" s="1">
        <f t="shared" si="2"/>
        <v>5183.266969416768</v>
      </c>
      <c r="L10" s="1">
        <f t="shared" si="2"/>
        <v>5196.9588164167571</v>
      </c>
      <c r="M10" s="1">
        <f t="shared" si="2"/>
        <v>5253.6361314676014</v>
      </c>
      <c r="N10" s="1">
        <f t="shared" si="2"/>
        <v>5326.6451734030888</v>
      </c>
      <c r="O10" s="1">
        <f t="shared" si="2"/>
        <v>5419.6856404616919</v>
      </c>
    </row>
    <row r="11" spans="1:16" x14ac:dyDescent="0.35">
      <c r="I11" s="14" t="s">
        <v>66</v>
      </c>
      <c r="K11" s="1">
        <f>MAX(0,C10)</f>
        <v>368.62114235666058</v>
      </c>
      <c r="L11" s="1">
        <f>MAX(0,D10)</f>
        <v>4047.1289762049287</v>
      </c>
      <c r="M11" s="1">
        <f>MAX(0,E10)</f>
        <v>2832.0523487016367</v>
      </c>
      <c r="N11" s="1">
        <f>MAX(0,F10)</f>
        <v>2414.4739295721952</v>
      </c>
      <c r="O11" s="1">
        <f>MAX(0,G10)</f>
        <v>1905.2897748373359</v>
      </c>
    </row>
    <row r="12" spans="1:16" x14ac:dyDescent="0.35">
      <c r="K12" s="1"/>
      <c r="L12" s="1"/>
      <c r="M12" s="1"/>
      <c r="N12" s="1"/>
      <c r="O12" s="1"/>
    </row>
    <row r="14" spans="1:16" ht="13.15" x14ac:dyDescent="0.4">
      <c r="B14" s="6"/>
      <c r="C14" s="5"/>
      <c r="D14" s="1"/>
    </row>
    <row r="15" spans="1:16" x14ac:dyDescent="0.35">
      <c r="B15" s="7"/>
    </row>
    <row r="17" spans="1:9" x14ac:dyDescent="0.35">
      <c r="I17" s="1"/>
    </row>
    <row r="25" spans="1:9" ht="13.15" x14ac:dyDescent="0.4">
      <c r="A25" s="10"/>
      <c r="B25" s="11"/>
      <c r="C25" s="11"/>
      <c r="D25" s="11"/>
      <c r="E25" s="11"/>
      <c r="F25" s="11"/>
      <c r="G25" s="40"/>
    </row>
  </sheetData>
  <mergeCells count="2">
    <mergeCell ref="J1:O1"/>
    <mergeCell ref="J8:O8"/>
  </mergeCells>
  <phoneticPr fontId="2" type="noConversion"/>
  <pageMargins left="0.75" right="0.75" top="1" bottom="1" header="0.5" footer="0.5"/>
  <pageSetup orientation="portrait" horizontalDpi="300" verticalDpi="300"/>
  <headerFooter alignWithMargins="0"/>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P25"/>
  <sheetViews>
    <sheetView workbookViewId="0">
      <selection activeCell="D12" sqref="D12"/>
    </sheetView>
  </sheetViews>
  <sheetFormatPr defaultColWidth="8.86328125" defaultRowHeight="12.75" x14ac:dyDescent="0.35"/>
  <cols>
    <col min="1" max="1" width="34.73046875" customWidth="1"/>
    <col min="2" max="2" width="8.1328125" bestFit="1" customWidth="1"/>
    <col min="3" max="3" width="13.3984375" bestFit="1" customWidth="1"/>
    <col min="4" max="7" width="10" bestFit="1" customWidth="1"/>
    <col min="8" max="8" width="5.3984375" customWidth="1"/>
    <col min="9" max="9" width="20.3984375" bestFit="1" customWidth="1"/>
    <col min="10" max="10" width="8.3984375" customWidth="1"/>
    <col min="12" max="15" width="8" bestFit="1" customWidth="1"/>
  </cols>
  <sheetData>
    <row r="1" spans="1:16" ht="13.15" x14ac:dyDescent="0.4">
      <c r="A1" s="2" t="s">
        <v>83</v>
      </c>
      <c r="C1" s="44"/>
      <c r="J1" s="137" t="s">
        <v>7</v>
      </c>
      <c r="K1" s="137"/>
      <c r="L1" s="137"/>
      <c r="M1" s="137"/>
      <c r="N1" s="137"/>
      <c r="O1" s="137"/>
    </row>
    <row r="2" spans="1:16" x14ac:dyDescent="0.35">
      <c r="A2" s="14" t="s">
        <v>87</v>
      </c>
      <c r="B2" s="22">
        <f>MAX(0.01,Inputs!B12)</f>
        <v>178590</v>
      </c>
      <c r="C2" s="14"/>
      <c r="J2" s="75" t="s">
        <v>103</v>
      </c>
      <c r="K2" s="75" t="s">
        <v>98</v>
      </c>
      <c r="L2" s="75" t="s">
        <v>99</v>
      </c>
      <c r="M2" s="75" t="s">
        <v>100</v>
      </c>
      <c r="N2" s="75" t="s">
        <v>101</v>
      </c>
      <c r="O2" s="75" t="s">
        <v>102</v>
      </c>
    </row>
    <row r="3" spans="1:16" x14ac:dyDescent="0.35">
      <c r="A3" s="14" t="s">
        <v>61</v>
      </c>
      <c r="B3" s="16">
        <f>Inputs!C12</f>
        <v>3.5038705936050504E-2</v>
      </c>
      <c r="C3" s="15"/>
      <c r="I3" s="57" t="s">
        <v>105</v>
      </c>
      <c r="J3" s="1">
        <f t="shared" ref="J3:O3" si="0">B8</f>
        <v>178590</v>
      </c>
      <c r="K3" s="1">
        <f t="shared" si="0"/>
        <v>181645.28388394346</v>
      </c>
      <c r="L3" s="1">
        <f t="shared" si="0"/>
        <v>185246.46342143317</v>
      </c>
      <c r="M3" s="1">
        <f t="shared" si="0"/>
        <v>188402.05661765902</v>
      </c>
      <c r="N3" s="1">
        <f t="shared" si="0"/>
        <v>192164.41380935404</v>
      </c>
      <c r="O3" s="1">
        <f t="shared" si="0"/>
        <v>196130.80908625407</v>
      </c>
    </row>
    <row r="4" spans="1:16" x14ac:dyDescent="0.35">
      <c r="A4" s="14" t="s">
        <v>62</v>
      </c>
      <c r="B4" s="24">
        <f>Inputs!D12</f>
        <v>154</v>
      </c>
      <c r="C4" s="25"/>
    </row>
    <row r="5" spans="1:16" x14ac:dyDescent="0.35">
      <c r="J5" s="8"/>
      <c r="K5" s="1"/>
      <c r="L5" s="1"/>
      <c r="M5" s="1"/>
      <c r="N5" s="1"/>
      <c r="O5" s="1"/>
    </row>
    <row r="6" spans="1:16" x14ac:dyDescent="0.35">
      <c r="A6" s="41" t="s">
        <v>0</v>
      </c>
      <c r="B6" s="61" t="s">
        <v>103</v>
      </c>
      <c r="C6" s="61" t="s">
        <v>98</v>
      </c>
      <c r="D6" s="61" t="s">
        <v>99</v>
      </c>
      <c r="E6" s="61" t="s">
        <v>100</v>
      </c>
      <c r="F6" s="61" t="s">
        <v>101</v>
      </c>
      <c r="G6" s="61" t="s">
        <v>102</v>
      </c>
      <c r="P6" s="1"/>
    </row>
    <row r="7" spans="1:16" x14ac:dyDescent="0.35">
      <c r="A7" s="14" t="s">
        <v>107</v>
      </c>
      <c r="B7" s="15">
        <f>(B4*4/qtr)/B2</f>
        <v>8.6231031972674847E-4</v>
      </c>
      <c r="C7" s="15">
        <f>ProjectedLossRates!B5</f>
        <v>1.2516688798264732E-2</v>
      </c>
      <c r="D7" s="15">
        <f>ProjectedLossRates!C5</f>
        <v>9.8783105454869242E-3</v>
      </c>
      <c r="E7" s="15">
        <f>ProjectedLossRates!D5</f>
        <v>1.2587799534564828E-2</v>
      </c>
      <c r="F7" s="15">
        <f>ProjectedLossRates!E5</f>
        <v>9.7380283563769238E-3</v>
      </c>
      <c r="G7" s="15">
        <f>ProjectedLossRates!F5</f>
        <v>9.086763391561354E-3</v>
      </c>
    </row>
    <row r="8" spans="1:16" ht="13.15" x14ac:dyDescent="0.4">
      <c r="A8" t="s">
        <v>10</v>
      </c>
      <c r="B8">
        <f>B2</f>
        <v>178590</v>
      </c>
      <c r="C8" s="1">
        <f>B8*(1-MAX(0,C7))*(1+rt)</f>
        <v>181645.28388394346</v>
      </c>
      <c r="D8" s="1">
        <f>C8*(1-MAX(0,D7))*(1+rt)</f>
        <v>185246.46342143317</v>
      </c>
      <c r="E8" s="1">
        <f>D8*(1-MAX(0,E7))*(1+rt)</f>
        <v>188402.05661765902</v>
      </c>
      <c r="F8" s="1">
        <f>E8*(1-MAX(0,F7))*(1+rt)</f>
        <v>192164.41380935404</v>
      </c>
      <c r="G8" s="1">
        <f>F8*(1-MAX(0,G7))*(1+rt)</f>
        <v>196130.80908625407</v>
      </c>
      <c r="J8" s="137" t="s">
        <v>1</v>
      </c>
      <c r="K8" s="137"/>
      <c r="L8" s="137"/>
      <c r="M8" s="137"/>
      <c r="N8" s="137"/>
      <c r="O8" s="137"/>
    </row>
    <row r="9" spans="1:16" ht="13.15" x14ac:dyDescent="0.4">
      <c r="A9" s="14" t="s">
        <v>63</v>
      </c>
      <c r="B9" s="1">
        <f t="shared" ref="B9:G9" si="1">B8*$B$3</f>
        <v>6257.5624931192597</v>
      </c>
      <c r="C9" s="1">
        <f t="shared" si="1"/>
        <v>6364.6156866799083</v>
      </c>
      <c r="D9" s="1">
        <f t="shared" si="1"/>
        <v>6490.7963575169333</v>
      </c>
      <c r="E9" s="1">
        <f t="shared" si="1"/>
        <v>6601.3642595732927</v>
      </c>
      <c r="F9" s="1">
        <f t="shared" si="1"/>
        <v>6733.1923868394788</v>
      </c>
      <c r="G9" s="1">
        <f t="shared" si="1"/>
        <v>6872.1697445729187</v>
      </c>
      <c r="H9" s="4"/>
      <c r="J9" s="75" t="s">
        <v>103</v>
      </c>
      <c r="K9" s="75" t="s">
        <v>98</v>
      </c>
      <c r="L9" s="75" t="s">
        <v>99</v>
      </c>
      <c r="M9" s="75" t="s">
        <v>100</v>
      </c>
      <c r="N9" s="75" t="s">
        <v>101</v>
      </c>
      <c r="O9" s="75" t="s">
        <v>102</v>
      </c>
    </row>
    <row r="10" spans="1:16" ht="13.15" x14ac:dyDescent="0.4">
      <c r="A10" s="14" t="s">
        <v>64</v>
      </c>
      <c r="B10" s="76">
        <f>B4</f>
        <v>154</v>
      </c>
      <c r="C10" s="76">
        <f>C7*B8*(1+rt)</f>
        <v>2302.4161160565613</v>
      </c>
      <c r="D10" s="76">
        <f>D7*C8*(1+rt)</f>
        <v>1848.1789790285866</v>
      </c>
      <c r="E10" s="76">
        <f>E7*D8*(1+rt)</f>
        <v>2401.8007064171798</v>
      </c>
      <c r="F10" s="76">
        <f>F7*E8*(1+rt)</f>
        <v>1889.7045068347691</v>
      </c>
      <c r="G10" s="76">
        <f>G7*F8*(1+rt)</f>
        <v>1798.5371373805961</v>
      </c>
      <c r="H10" s="3"/>
      <c r="I10" s="14" t="s">
        <v>65</v>
      </c>
      <c r="J10" s="1">
        <f t="shared" ref="J10:O10" si="2">B9</f>
        <v>6257.5624931192597</v>
      </c>
      <c r="K10" s="1">
        <f t="shared" si="2"/>
        <v>6364.6156866799083</v>
      </c>
      <c r="L10" s="1">
        <f t="shared" si="2"/>
        <v>6490.7963575169333</v>
      </c>
      <c r="M10" s="1">
        <f t="shared" si="2"/>
        <v>6601.3642595732927</v>
      </c>
      <c r="N10" s="1">
        <f t="shared" si="2"/>
        <v>6733.1923868394788</v>
      </c>
      <c r="O10" s="1">
        <f t="shared" si="2"/>
        <v>6872.1697445729187</v>
      </c>
    </row>
    <row r="11" spans="1:16" x14ac:dyDescent="0.35">
      <c r="I11" s="14" t="s">
        <v>66</v>
      </c>
      <c r="K11" s="1">
        <f>MAX(0,C10)</f>
        <v>2302.4161160565613</v>
      </c>
      <c r="L11" s="1">
        <f>MAX(0,D10)</f>
        <v>1848.1789790285866</v>
      </c>
      <c r="M11" s="1">
        <f>MAX(0,E10)</f>
        <v>2401.8007064171798</v>
      </c>
      <c r="N11" s="1">
        <f>MAX(0,F10)</f>
        <v>1889.7045068347691</v>
      </c>
      <c r="O11" s="1">
        <f>MAX(0,G10)</f>
        <v>1798.5371373805961</v>
      </c>
    </row>
    <row r="12" spans="1:16" x14ac:dyDescent="0.35">
      <c r="K12" s="1"/>
      <c r="L12" s="1"/>
      <c r="M12" s="1"/>
      <c r="N12" s="1"/>
      <c r="O12" s="1"/>
    </row>
    <row r="14" spans="1:16" ht="13.15" x14ac:dyDescent="0.4">
      <c r="B14" s="6"/>
      <c r="C14" s="5"/>
      <c r="D14" s="1"/>
    </row>
    <row r="15" spans="1:16" x14ac:dyDescent="0.35">
      <c r="B15" s="7"/>
    </row>
    <row r="25" spans="1:7" ht="13.15" x14ac:dyDescent="0.4">
      <c r="A25" s="10"/>
      <c r="B25" s="11"/>
      <c r="C25" s="11"/>
      <c r="D25" s="11"/>
      <c r="E25" s="11"/>
      <c r="F25" s="11"/>
      <c r="G25" s="40"/>
    </row>
  </sheetData>
  <mergeCells count="2">
    <mergeCell ref="J1:O1"/>
    <mergeCell ref="J8:O8"/>
  </mergeCells>
  <phoneticPr fontId="2" type="noConversion"/>
  <pageMargins left="0.75" right="0.75" top="1" bottom="1" header="0.5" footer="0.5"/>
  <pageSetup orientation="portrait" horizontalDpi="300" verticalDpi="300"/>
  <headerFooter alignWithMargins="0"/>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P25"/>
  <sheetViews>
    <sheetView workbookViewId="0">
      <selection activeCell="D12" sqref="D12"/>
    </sheetView>
  </sheetViews>
  <sheetFormatPr defaultColWidth="8.86328125" defaultRowHeight="12.75" x14ac:dyDescent="0.35"/>
  <cols>
    <col min="1" max="1" width="34.86328125" customWidth="1"/>
    <col min="2" max="2" width="11.73046875" customWidth="1"/>
    <col min="3" max="7" width="9" bestFit="1" customWidth="1"/>
    <col min="8" max="8" width="5.3984375" customWidth="1"/>
    <col min="9" max="9" width="20.3984375" bestFit="1" customWidth="1"/>
    <col min="10" max="15" width="9" bestFit="1" customWidth="1"/>
  </cols>
  <sheetData>
    <row r="1" spans="1:16" ht="13.15" x14ac:dyDescent="0.4">
      <c r="A1" s="2" t="s">
        <v>84</v>
      </c>
      <c r="C1" s="44"/>
      <c r="J1" s="137" t="s">
        <v>7</v>
      </c>
      <c r="K1" s="137"/>
      <c r="L1" s="137"/>
      <c r="M1" s="137"/>
      <c r="N1" s="137"/>
      <c r="O1" s="137"/>
    </row>
    <row r="2" spans="1:16" x14ac:dyDescent="0.35">
      <c r="A2" s="14" t="s">
        <v>88</v>
      </c>
      <c r="B2" s="22">
        <f>MAX(0.01,Inputs!B13)</f>
        <v>0.01</v>
      </c>
      <c r="C2" s="14"/>
      <c r="J2" s="75" t="s">
        <v>103</v>
      </c>
      <c r="K2" s="75" t="s">
        <v>98</v>
      </c>
      <c r="L2" s="75" t="s">
        <v>99</v>
      </c>
      <c r="M2" s="75" t="s">
        <v>100</v>
      </c>
      <c r="N2" s="75" t="s">
        <v>101</v>
      </c>
      <c r="O2" s="75" t="s">
        <v>102</v>
      </c>
    </row>
    <row r="3" spans="1:16" x14ac:dyDescent="0.35">
      <c r="A3" s="14" t="s">
        <v>61</v>
      </c>
      <c r="B3" s="16">
        <f>Inputs!C13</f>
        <v>3.5038705936050504E-2</v>
      </c>
      <c r="C3" s="15"/>
      <c r="I3" s="57" t="s">
        <v>105</v>
      </c>
      <c r="J3" s="1">
        <f t="shared" ref="J3:O3" si="0">B8</f>
        <v>0.01</v>
      </c>
      <c r="K3" s="1">
        <f t="shared" si="0"/>
        <v>1.03E-2</v>
      </c>
      <c r="L3" s="1">
        <f t="shared" si="0"/>
        <v>1.0609E-2</v>
      </c>
      <c r="M3" s="1">
        <f t="shared" si="0"/>
        <v>1.0927270000000001E-2</v>
      </c>
      <c r="N3" s="1">
        <f t="shared" si="0"/>
        <v>1.1252981925010577E-2</v>
      </c>
      <c r="O3" s="1">
        <f t="shared" si="0"/>
        <v>1.1590571382760895E-2</v>
      </c>
    </row>
    <row r="4" spans="1:16" x14ac:dyDescent="0.35">
      <c r="A4" s="14" t="s">
        <v>62</v>
      </c>
      <c r="B4" s="24">
        <f>Inputs!D13</f>
        <v>0</v>
      </c>
      <c r="C4" s="25"/>
    </row>
    <row r="5" spans="1:16" x14ac:dyDescent="0.35">
      <c r="J5" s="8"/>
      <c r="K5" s="1"/>
      <c r="L5" s="1"/>
      <c r="M5" s="1"/>
      <c r="N5" s="1"/>
      <c r="O5" s="1"/>
    </row>
    <row r="6" spans="1:16" x14ac:dyDescent="0.35">
      <c r="A6" s="41" t="s">
        <v>0</v>
      </c>
      <c r="B6" s="61" t="s">
        <v>103</v>
      </c>
      <c r="C6" s="61" t="s">
        <v>98</v>
      </c>
      <c r="D6" s="61" t="s">
        <v>99</v>
      </c>
      <c r="E6" s="61" t="s">
        <v>100</v>
      </c>
      <c r="F6" s="61" t="s">
        <v>101</v>
      </c>
      <c r="G6" s="61" t="s">
        <v>102</v>
      </c>
      <c r="P6" s="1"/>
    </row>
    <row r="7" spans="1:16" x14ac:dyDescent="0.35">
      <c r="A7" s="14" t="s">
        <v>107</v>
      </c>
      <c r="B7" s="15">
        <f>(B4*4/qtr)/B2</f>
        <v>0</v>
      </c>
      <c r="C7" s="15">
        <f>ProjectedLossRates!B6</f>
        <v>0</v>
      </c>
      <c r="D7" s="15">
        <f>ProjectedLossRates!C6</f>
        <v>0</v>
      </c>
      <c r="E7" s="15">
        <f>ProjectedLossRates!D6</f>
        <v>0</v>
      </c>
      <c r="F7" s="15">
        <f>ProjectedLossRates!E6</f>
        <v>1.8713091987476713E-4</v>
      </c>
      <c r="G7" s="15">
        <f>ProjectedLossRates!F6</f>
        <v>0</v>
      </c>
    </row>
    <row r="8" spans="1:16" ht="13.15" x14ac:dyDescent="0.4">
      <c r="A8" t="s">
        <v>10</v>
      </c>
      <c r="B8">
        <f>B2</f>
        <v>0.01</v>
      </c>
      <c r="C8" s="1">
        <f>B8*(1-MAX(0,C7))*(1+rt)</f>
        <v>1.03E-2</v>
      </c>
      <c r="D8" s="1">
        <f>C8*(1-MAX(0,D7))*(1+rt)</f>
        <v>1.0609E-2</v>
      </c>
      <c r="E8" s="1">
        <f>D8*(1-MAX(0,E7))*(1+rt)</f>
        <v>1.0927270000000001E-2</v>
      </c>
      <c r="F8" s="1">
        <f>E8*(1-MAX(0,F7))*(1+rt)</f>
        <v>1.1252981925010577E-2</v>
      </c>
      <c r="G8" s="1">
        <f>F8*(1-MAX(0,G7))*(1+rt)</f>
        <v>1.1590571382760895E-2</v>
      </c>
      <c r="J8" s="137" t="s">
        <v>1</v>
      </c>
      <c r="K8" s="137"/>
      <c r="L8" s="137"/>
      <c r="M8" s="137"/>
      <c r="N8" s="137"/>
      <c r="O8" s="137"/>
    </row>
    <row r="9" spans="1:16" ht="13.15" x14ac:dyDescent="0.4">
      <c r="A9" s="14" t="s">
        <v>63</v>
      </c>
      <c r="B9" s="1">
        <f t="shared" ref="B9:G9" si="1">B8*$B$3</f>
        <v>3.5038705936050503E-4</v>
      </c>
      <c r="C9" s="1">
        <f t="shared" si="1"/>
        <v>3.6089867114132021E-4</v>
      </c>
      <c r="D9" s="1">
        <f t="shared" si="1"/>
        <v>3.7172563127555982E-4</v>
      </c>
      <c r="E9" s="1">
        <f t="shared" si="1"/>
        <v>3.8287740021382665E-4</v>
      </c>
      <c r="F9" s="1">
        <f t="shared" si="1"/>
        <v>3.9428992457413712E-4</v>
      </c>
      <c r="G9" s="1">
        <f t="shared" si="1"/>
        <v>4.0611862231136126E-4</v>
      </c>
      <c r="H9" s="4"/>
      <c r="J9" s="75" t="s">
        <v>103</v>
      </c>
      <c r="K9" s="75" t="s">
        <v>98</v>
      </c>
      <c r="L9" s="75" t="s">
        <v>99</v>
      </c>
      <c r="M9" s="75" t="s">
        <v>100</v>
      </c>
      <c r="N9" s="75" t="s">
        <v>101</v>
      </c>
      <c r="O9" s="75" t="s">
        <v>102</v>
      </c>
    </row>
    <row r="10" spans="1:16" ht="13.15" x14ac:dyDescent="0.4">
      <c r="A10" s="14" t="s">
        <v>64</v>
      </c>
      <c r="B10" s="76">
        <f>B4</f>
        <v>0</v>
      </c>
      <c r="C10" s="76">
        <f>C7*B8*(1+rt)</f>
        <v>0</v>
      </c>
      <c r="D10" s="76">
        <f>D7*C8*(1+rt)</f>
        <v>0</v>
      </c>
      <c r="E10" s="76">
        <f>E7*D8*(1+rt)</f>
        <v>0</v>
      </c>
      <c r="F10" s="76">
        <f>F7*E8*(1+rt)</f>
        <v>2.1061749894245453E-6</v>
      </c>
      <c r="G10" s="76">
        <f>G7*F8*(1+rt)</f>
        <v>0</v>
      </c>
      <c r="H10" s="3"/>
      <c r="I10" s="14" t="s">
        <v>65</v>
      </c>
      <c r="J10" s="1">
        <f t="shared" ref="J10:O10" si="2">B9</f>
        <v>3.5038705936050503E-4</v>
      </c>
      <c r="K10" s="1">
        <f t="shared" si="2"/>
        <v>3.6089867114132021E-4</v>
      </c>
      <c r="L10" s="1">
        <f t="shared" si="2"/>
        <v>3.7172563127555982E-4</v>
      </c>
      <c r="M10" s="1">
        <f t="shared" si="2"/>
        <v>3.8287740021382665E-4</v>
      </c>
      <c r="N10" s="1">
        <f t="shared" si="2"/>
        <v>3.9428992457413712E-4</v>
      </c>
      <c r="O10" s="1">
        <f t="shared" si="2"/>
        <v>4.0611862231136126E-4</v>
      </c>
    </row>
    <row r="11" spans="1:16" x14ac:dyDescent="0.35">
      <c r="I11" s="14" t="s">
        <v>66</v>
      </c>
      <c r="K11" s="1">
        <f>MAX(0,C10)</f>
        <v>0</v>
      </c>
      <c r="L11" s="1">
        <f>MAX(0,D10)</f>
        <v>0</v>
      </c>
      <c r="M11" s="1">
        <f>MAX(0,E10)</f>
        <v>0</v>
      </c>
      <c r="N11" s="1">
        <f>MAX(0,F10)</f>
        <v>2.1061749894245453E-6</v>
      </c>
      <c r="O11" s="1">
        <f>MAX(0,G10)</f>
        <v>0</v>
      </c>
    </row>
    <row r="12" spans="1:16" x14ac:dyDescent="0.35">
      <c r="K12" s="1"/>
      <c r="L12" s="1"/>
      <c r="M12" s="1"/>
      <c r="N12" s="1"/>
      <c r="O12" s="1"/>
    </row>
    <row r="14" spans="1:16" ht="13.15" x14ac:dyDescent="0.4">
      <c r="B14" s="6"/>
      <c r="C14" s="5"/>
      <c r="D14" s="1"/>
    </row>
    <row r="15" spans="1:16" x14ac:dyDescent="0.35">
      <c r="B15" s="7"/>
    </row>
    <row r="25" spans="1:7" ht="13.15" x14ac:dyDescent="0.4">
      <c r="A25" s="10"/>
      <c r="B25" s="11"/>
      <c r="C25" s="11"/>
      <c r="D25" s="11"/>
      <c r="E25" s="11"/>
      <c r="F25" s="11"/>
      <c r="G25" s="40"/>
    </row>
  </sheetData>
  <mergeCells count="2">
    <mergeCell ref="J1:O1"/>
    <mergeCell ref="J8:O8"/>
  </mergeCells>
  <phoneticPr fontId="2" type="noConversion"/>
  <pageMargins left="0.75" right="0.75" top="1" bottom="1" header="0.5" footer="0.5"/>
  <pageSetup orientation="portrait" horizontalDpi="300" verticalDpi="300"/>
  <headerFooter alignWithMargins="0"/>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25"/>
  <sheetViews>
    <sheetView workbookViewId="0">
      <selection activeCell="D12" sqref="D12"/>
    </sheetView>
  </sheetViews>
  <sheetFormatPr defaultColWidth="8.86328125" defaultRowHeight="12.75" x14ac:dyDescent="0.35"/>
  <cols>
    <col min="1" max="1" width="34.3984375" customWidth="1"/>
    <col min="2" max="2" width="12.73046875" customWidth="1"/>
    <col min="3" max="7" width="10" bestFit="1" customWidth="1"/>
    <col min="8" max="8" width="5.3984375" customWidth="1"/>
    <col min="9" max="9" width="20.3984375" bestFit="1" customWidth="1"/>
    <col min="10" max="15" width="9" bestFit="1" customWidth="1"/>
  </cols>
  <sheetData>
    <row r="1" spans="1:16" ht="13.15" x14ac:dyDescent="0.4">
      <c r="A1" s="2" t="s">
        <v>85</v>
      </c>
      <c r="C1" s="44"/>
      <c r="J1" s="137" t="s">
        <v>7</v>
      </c>
      <c r="K1" s="137"/>
      <c r="L1" s="137"/>
      <c r="M1" s="137"/>
      <c r="N1" s="137"/>
      <c r="O1" s="137"/>
    </row>
    <row r="2" spans="1:16" x14ac:dyDescent="0.35">
      <c r="A2" s="14" t="s">
        <v>89</v>
      </c>
      <c r="B2" s="22">
        <f>MAX(0.01,Inputs!B14)</f>
        <v>36299</v>
      </c>
      <c r="C2" s="14"/>
      <c r="J2" s="75" t="s">
        <v>103</v>
      </c>
      <c r="K2" s="75" t="s">
        <v>98</v>
      </c>
      <c r="L2" s="75" t="s">
        <v>99</v>
      </c>
      <c r="M2" s="75" t="s">
        <v>100</v>
      </c>
      <c r="N2" s="75" t="s">
        <v>101</v>
      </c>
      <c r="O2" s="75" t="s">
        <v>102</v>
      </c>
    </row>
    <row r="3" spans="1:16" x14ac:dyDescent="0.35">
      <c r="A3" s="14" t="s">
        <v>61</v>
      </c>
      <c r="B3" s="16">
        <f>Inputs!C14</f>
        <v>3.5038705936050504E-2</v>
      </c>
      <c r="C3" s="15"/>
      <c r="I3" s="57" t="s">
        <v>105</v>
      </c>
      <c r="J3" s="1">
        <f t="shared" ref="J3:O3" si="0">B8</f>
        <v>36299</v>
      </c>
      <c r="K3" s="1">
        <f t="shared" si="0"/>
        <v>37387.97</v>
      </c>
      <c r="L3" s="1">
        <f t="shared" si="0"/>
        <v>38029.268686981697</v>
      </c>
      <c r="M3" s="1">
        <f t="shared" si="0"/>
        <v>36936.543619677563</v>
      </c>
      <c r="N3" s="1">
        <f t="shared" si="0"/>
        <v>35000.764904458629</v>
      </c>
      <c r="O3" s="1">
        <f t="shared" si="0"/>
        <v>34919.505580089884</v>
      </c>
    </row>
    <row r="4" spans="1:16" x14ac:dyDescent="0.35">
      <c r="A4" s="14" t="s">
        <v>62</v>
      </c>
      <c r="B4" s="24">
        <f>Inputs!D14</f>
        <v>113</v>
      </c>
      <c r="C4" s="25"/>
    </row>
    <row r="5" spans="1:16" x14ac:dyDescent="0.35">
      <c r="J5" s="8"/>
      <c r="K5" s="1"/>
      <c r="L5" s="1"/>
      <c r="M5" s="1"/>
      <c r="N5" s="1"/>
      <c r="O5" s="1"/>
    </row>
    <row r="6" spans="1:16" x14ac:dyDescent="0.35">
      <c r="A6" s="41" t="s">
        <v>0</v>
      </c>
      <c r="B6" s="61" t="s">
        <v>103</v>
      </c>
      <c r="C6" s="61" t="s">
        <v>98</v>
      </c>
      <c r="D6" s="61" t="s">
        <v>99</v>
      </c>
      <c r="E6" s="61" t="s">
        <v>100</v>
      </c>
      <c r="F6" s="61" t="s">
        <v>101</v>
      </c>
      <c r="G6" s="61" t="s">
        <v>102</v>
      </c>
      <c r="P6" s="1"/>
    </row>
    <row r="7" spans="1:16" x14ac:dyDescent="0.35">
      <c r="A7" s="14" t="s">
        <v>107</v>
      </c>
      <c r="B7" s="15">
        <f>(B4*4/qtr)/B2</f>
        <v>3.1130334168985373E-3</v>
      </c>
      <c r="C7" s="15">
        <f>ProjectedLossRates!B7</f>
        <v>0</v>
      </c>
      <c r="D7" s="15">
        <f>ProjectedLossRates!C7</f>
        <v>1.2473261200106651E-2</v>
      </c>
      <c r="E7" s="15">
        <f>ProjectedLossRates!D7</f>
        <v>5.7023098287242086E-2</v>
      </c>
      <c r="F7" s="15">
        <f>ProjectedLossRates!E7</f>
        <v>8.0007986132827141E-2</v>
      </c>
      <c r="G7" s="15">
        <f>ProjectedLossRates!F7</f>
        <v>3.138023712989501E-2</v>
      </c>
    </row>
    <row r="8" spans="1:16" ht="13.15" x14ac:dyDescent="0.4">
      <c r="A8" t="s">
        <v>10</v>
      </c>
      <c r="B8">
        <f>B2</f>
        <v>36299</v>
      </c>
      <c r="C8" s="1">
        <f>B8*(1-MAX(0,C7))*(1+rt)</f>
        <v>37387.97</v>
      </c>
      <c r="D8" s="1">
        <f>C8*(1-MAX(0,D7))*(1+rt)</f>
        <v>38029.268686981697</v>
      </c>
      <c r="E8" s="1">
        <f>D8*(1-MAX(0,E7))*(1+rt)</f>
        <v>36936.543619677563</v>
      </c>
      <c r="F8" s="1">
        <f>E8*(1-MAX(0,F7))*(1+rt)</f>
        <v>35000.764904458629</v>
      </c>
      <c r="G8" s="1">
        <f>F8*(1-MAX(0,G7))*(1+rt)</f>
        <v>34919.505580089884</v>
      </c>
      <c r="J8" s="137" t="s">
        <v>1</v>
      </c>
      <c r="K8" s="137"/>
      <c r="L8" s="137"/>
      <c r="M8" s="137"/>
      <c r="N8" s="137"/>
      <c r="O8" s="137"/>
    </row>
    <row r="9" spans="1:16" ht="13.15" x14ac:dyDescent="0.4">
      <c r="A9" s="14" t="s">
        <v>63</v>
      </c>
      <c r="B9" s="1">
        <f t="shared" ref="B9:G9" si="1">B8*$B$3</f>
        <v>1271.8699867726973</v>
      </c>
      <c r="C9" s="1">
        <f t="shared" si="1"/>
        <v>1310.0260863758783</v>
      </c>
      <c r="D9" s="1">
        <f t="shared" si="1"/>
        <v>1332.4963624862053</v>
      </c>
      <c r="E9" s="1">
        <f t="shared" si="1"/>
        <v>1294.2086901839846</v>
      </c>
      <c r="F9" s="1">
        <f t="shared" si="1"/>
        <v>1226.3815090241628</v>
      </c>
      <c r="G9" s="1">
        <f t="shared" si="1"/>
        <v>1223.534287453044</v>
      </c>
      <c r="H9" s="4"/>
      <c r="J9" s="75" t="s">
        <v>103</v>
      </c>
      <c r="K9" s="75" t="s">
        <v>98</v>
      </c>
      <c r="L9" s="75" t="s">
        <v>99</v>
      </c>
      <c r="M9" s="75" t="s">
        <v>100</v>
      </c>
      <c r="N9" s="75" t="s">
        <v>101</v>
      </c>
      <c r="O9" s="75" t="s">
        <v>102</v>
      </c>
    </row>
    <row r="10" spans="1:16" ht="13.15" x14ac:dyDescent="0.4">
      <c r="A10" s="14" t="s">
        <v>64</v>
      </c>
      <c r="B10" s="76">
        <f>B4</f>
        <v>113</v>
      </c>
      <c r="C10" s="76">
        <f>C7*B8*(1+rt)</f>
        <v>0</v>
      </c>
      <c r="D10" s="76">
        <f>D7*C8*(1+rt)</f>
        <v>480.34041301830405</v>
      </c>
      <c r="E10" s="76">
        <f>E7*D8*(1+rt)</f>
        <v>2233.6031279135859</v>
      </c>
      <c r="F10" s="76">
        <f>F7*E8*(1+rt)</f>
        <v>3043.8750238092589</v>
      </c>
      <c r="G10" s="76">
        <f>G7*F8*(1+rt)</f>
        <v>1131.2822715025072</v>
      </c>
      <c r="H10" s="3"/>
      <c r="I10" s="14" t="s">
        <v>65</v>
      </c>
      <c r="J10" s="1">
        <f t="shared" ref="J10:O10" si="2">B9</f>
        <v>1271.8699867726973</v>
      </c>
      <c r="K10" s="1">
        <f t="shared" si="2"/>
        <v>1310.0260863758783</v>
      </c>
      <c r="L10" s="1">
        <f t="shared" si="2"/>
        <v>1332.4963624862053</v>
      </c>
      <c r="M10" s="1">
        <f t="shared" si="2"/>
        <v>1294.2086901839846</v>
      </c>
      <c r="N10" s="1">
        <f t="shared" si="2"/>
        <v>1226.3815090241628</v>
      </c>
      <c r="O10" s="1">
        <f t="shared" si="2"/>
        <v>1223.534287453044</v>
      </c>
    </row>
    <row r="11" spans="1:16" x14ac:dyDescent="0.35">
      <c r="I11" s="14" t="s">
        <v>66</v>
      </c>
      <c r="K11" s="1">
        <f>MAX(0,C10)</f>
        <v>0</v>
      </c>
      <c r="L11" s="1">
        <f>MAX(0,D10)</f>
        <v>480.34041301830405</v>
      </c>
      <c r="M11" s="1">
        <f>MAX(0,E10)</f>
        <v>2233.6031279135859</v>
      </c>
      <c r="N11" s="1">
        <f>MAX(0,F10)</f>
        <v>3043.8750238092589</v>
      </c>
      <c r="O11" s="1">
        <f>MAX(0,G10)</f>
        <v>1131.2822715025072</v>
      </c>
    </row>
    <row r="12" spans="1:16" x14ac:dyDescent="0.35">
      <c r="K12" s="1"/>
      <c r="L12" s="1"/>
      <c r="M12" s="1"/>
      <c r="N12" s="1"/>
      <c r="O12" s="1"/>
    </row>
    <row r="14" spans="1:16" ht="13.15" x14ac:dyDescent="0.4">
      <c r="B14" s="6"/>
      <c r="C14" s="5"/>
      <c r="D14" s="1"/>
    </row>
    <row r="15" spans="1:16" x14ac:dyDescent="0.35">
      <c r="B15" s="7"/>
    </row>
    <row r="25" spans="1:7" ht="13.15" x14ac:dyDescent="0.4">
      <c r="A25" s="10"/>
      <c r="B25" s="11"/>
      <c r="C25" s="11"/>
      <c r="D25" s="11"/>
      <c r="E25" s="11"/>
      <c r="F25" s="11"/>
      <c r="G25" s="40"/>
    </row>
  </sheetData>
  <mergeCells count="2">
    <mergeCell ref="J1:O1"/>
    <mergeCell ref="J8:O8"/>
  </mergeCells>
  <phoneticPr fontId="2" type="noConversion"/>
  <pageMargins left="0.75" right="0.75" top="1" bottom="1" header="0.5" footer="0.5"/>
  <pageSetup orientation="portrait" horizontalDpi="300" verticalDpi="300"/>
  <headerFooter alignWithMargins="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18</vt:i4>
      </vt:variant>
      <vt:variant>
        <vt:lpstr>Charts</vt:lpstr>
      </vt:variant>
      <vt:variant>
        <vt:i4>8</vt:i4>
      </vt:variant>
      <vt:variant>
        <vt:lpstr>Named Ranges</vt:lpstr>
      </vt:variant>
      <vt:variant>
        <vt:i4>13</vt:i4>
      </vt:variant>
    </vt:vector>
  </HeadingPairs>
  <TitlesOfParts>
    <vt:vector size="39" baseType="lpstr">
      <vt:lpstr>Inputs</vt:lpstr>
      <vt:lpstr>DataSources</vt:lpstr>
      <vt:lpstr>ProjectedLossRates</vt:lpstr>
      <vt:lpstr>Results</vt:lpstr>
      <vt:lpstr>MULTIFAM</vt:lpstr>
      <vt:lpstr>NFR_OTHER</vt:lpstr>
      <vt:lpstr>NFR_OWN</vt:lpstr>
      <vt:lpstr>FARM</vt:lpstr>
      <vt:lpstr>CLD_OTHER</vt:lpstr>
      <vt:lpstr>CLD_RES</vt:lpstr>
      <vt:lpstr>Consumer</vt:lpstr>
      <vt:lpstr>Mortgage</vt:lpstr>
      <vt:lpstr>CI</vt:lpstr>
      <vt:lpstr>AG</vt:lpstr>
      <vt:lpstr>OTHERLOANS</vt:lpstr>
      <vt:lpstr>Securities</vt:lpstr>
      <vt:lpstr>FedFunds</vt:lpstr>
      <vt:lpstr>IntBearBalances</vt:lpstr>
      <vt:lpstr>Loan Share</vt:lpstr>
      <vt:lpstr>ROA</vt:lpstr>
      <vt:lpstr>ROE</vt:lpstr>
      <vt:lpstr>Capital</vt:lpstr>
      <vt:lpstr>Net Chargeoffs</vt:lpstr>
      <vt:lpstr>Chargeoffs by Loan Category</vt:lpstr>
      <vt:lpstr>Chargeoffs by CRE Category</vt:lpstr>
      <vt:lpstr>CRE Loan Share</vt:lpstr>
      <vt:lpstr>cert</vt:lpstr>
      <vt:lpstr>cohort</vt:lpstr>
      <vt:lpstr>DivRule</vt:lpstr>
      <vt:lpstr>msa</vt:lpstr>
      <vt:lpstr>name</vt:lpstr>
      <vt:lpstr>pctl</vt:lpstr>
      <vt:lpstr>Inputs!Print_Area</vt:lpstr>
      <vt:lpstr>ProjectedLossRates!Print_Area</vt:lpstr>
      <vt:lpstr>Results!Print_Area</vt:lpstr>
      <vt:lpstr>qtr</vt:lpstr>
      <vt:lpstr>rt</vt:lpstr>
      <vt:lpstr>SecRule</vt:lpstr>
      <vt:lpstr>year</vt:lpstr>
    </vt:vector>
  </TitlesOfParts>
  <Company>University of Arkansas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tyeager</dc:creator>
  <cp:lastModifiedBy>Timothy J. Yeager</cp:lastModifiedBy>
  <cp:lastPrinted>2015-12-09T00:37:04Z</cp:lastPrinted>
  <dcterms:created xsi:type="dcterms:W3CDTF">2006-04-01T03:27:37Z</dcterms:created>
  <dcterms:modified xsi:type="dcterms:W3CDTF">2017-04-03T19:04:13Z</dcterms:modified>
</cp:coreProperties>
</file>